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Sheet1!$A$1:$K$206</definedName>
  </definedNames>
  <calcPr calcId="144525"/>
</workbook>
</file>

<file path=xl/sharedStrings.xml><?xml version="1.0" encoding="utf-8"?>
<sst xmlns="http://schemas.openxmlformats.org/spreadsheetml/2006/main" count="1424" uniqueCount="309">
  <si>
    <t>2020年度萧县事业单位公开招聘工作人员（第一批）拟聘用人员名单</t>
  </si>
  <si>
    <t>聘用单位</t>
  </si>
  <si>
    <t>岗位代码</t>
  </si>
  <si>
    <t>招聘岗位所需资格条件</t>
  </si>
  <si>
    <t>学历</t>
  </si>
  <si>
    <t>年龄</t>
  </si>
  <si>
    <t>其他</t>
  </si>
  <si>
    <t>准考证号</t>
  </si>
  <si>
    <t>姓名</t>
  </si>
  <si>
    <t>毕业院校</t>
  </si>
  <si>
    <t>总成绩</t>
  </si>
  <si>
    <t>专业</t>
  </si>
  <si>
    <t xml:space="preserve">县党风廉政教育中心 </t>
  </si>
  <si>
    <t>20002_工作人员</t>
  </si>
  <si>
    <t>本科：计算机类；                  研究生：计算机科学与技术</t>
  </si>
  <si>
    <t>本科（学士）及以上</t>
  </si>
  <si>
    <t>本科学历30周岁以下，研究生学历32周岁以下</t>
  </si>
  <si>
    <t>中共党员      应届毕业生</t>
  </si>
  <si>
    <t>淮北师范大学</t>
  </si>
  <si>
    <t>本科</t>
  </si>
  <si>
    <t>20003_工作人员</t>
  </si>
  <si>
    <t>专业不限</t>
  </si>
  <si>
    <t>应届毕业生    中共党员，具有普通话二级甲等及以上证书</t>
  </si>
  <si>
    <t>同济大学</t>
  </si>
  <si>
    <t>硕士研究生</t>
  </si>
  <si>
    <t>西安工业大学</t>
  </si>
  <si>
    <t xml:space="preserve">县社会治安综合治理中心 </t>
  </si>
  <si>
    <t>20004_工作人员</t>
  </si>
  <si>
    <t>本科：汉语言文学、秘书学；                研究生：中国语言文学</t>
  </si>
  <si>
    <t>本科及以上</t>
  </si>
  <si>
    <t>30周岁以下</t>
  </si>
  <si>
    <t>应届毕业生</t>
  </si>
  <si>
    <t>江苏师范大学科文学院</t>
  </si>
  <si>
    <t>新乡学院</t>
  </si>
  <si>
    <t xml:space="preserve">县效能中心 </t>
  </si>
  <si>
    <t>20010_工作人员</t>
  </si>
  <si>
    <t>安庆师范大学</t>
  </si>
  <si>
    <t xml:space="preserve">县信访中心 </t>
  </si>
  <si>
    <t>20011_工作人员</t>
  </si>
  <si>
    <t>大专及以上</t>
  </si>
  <si>
    <t>山东科技大学泰山科技学院</t>
  </si>
  <si>
    <t>大专</t>
  </si>
  <si>
    <t>20012_工作人员</t>
  </si>
  <si>
    <t>大专：文秘；本科：秘书学；        研究生：汉语言文字学</t>
  </si>
  <si>
    <t>阜阳师范大学</t>
  </si>
  <si>
    <t xml:space="preserve">县城乡居民社会养老保险管理中心 </t>
  </si>
  <si>
    <t>20013_工作人员</t>
  </si>
  <si>
    <t>本科：会计学、财务管理；                     研究生：会计学</t>
  </si>
  <si>
    <t>浙江工商大学</t>
  </si>
  <si>
    <t>20014_工作人员</t>
  </si>
  <si>
    <t>本科：劳动与社会保障；            研究生：社会保障</t>
  </si>
  <si>
    <t>上海政法学院</t>
  </si>
  <si>
    <t xml:space="preserve">乡镇人社所 </t>
  </si>
  <si>
    <t>20015_工作人员</t>
  </si>
  <si>
    <t>河南工业大学</t>
  </si>
  <si>
    <t>合肥师范学院</t>
  </si>
  <si>
    <t>武汉工程大学</t>
  </si>
  <si>
    <t>四川外国语大学</t>
  </si>
  <si>
    <t>淮北师范大学信息学院</t>
  </si>
  <si>
    <t>德州学院</t>
  </si>
  <si>
    <t xml:space="preserve">县新型农村合作医疗管理服务中心 </t>
  </si>
  <si>
    <t>20016_工作人员</t>
  </si>
  <si>
    <t>本科：秘书学、汉语言文学、汉语言、应用语言学；研究生：语言学及应用语言学、汉语言文字学</t>
  </si>
  <si>
    <t>35周岁以下</t>
  </si>
  <si>
    <t>20017_工作人员</t>
  </si>
  <si>
    <t>本科：临床医学、药学、中西医临床医学；研究生：临床医学、中西医结合临床、药学</t>
  </si>
  <si>
    <t>安徽新华学院</t>
  </si>
  <si>
    <t xml:space="preserve">县婚姻登记处 </t>
  </si>
  <si>
    <t>20018_工作人员</t>
  </si>
  <si>
    <t>海南大学</t>
  </si>
  <si>
    <t>安徽公安职业学院</t>
  </si>
  <si>
    <t>池州学院</t>
  </si>
  <si>
    <t>安徽科技学院</t>
  </si>
  <si>
    <t xml:space="preserve">县福利院 </t>
  </si>
  <si>
    <t>20019_工作人员</t>
  </si>
  <si>
    <t>铜陵学院</t>
  </si>
  <si>
    <t>安徽财经大学商学院</t>
  </si>
  <si>
    <t xml:space="preserve">县退役军人服务管理中心 </t>
  </si>
  <si>
    <t>20020_工作人员</t>
  </si>
  <si>
    <t xml:space="preserve">财务管理、会计学
</t>
  </si>
  <si>
    <t>本科以及上</t>
  </si>
  <si>
    <t>20022_工作人员</t>
  </si>
  <si>
    <t>计算机科学与技术、软件工程、网络工程、信息安全、电子信息工程</t>
  </si>
  <si>
    <t>宁夏理工学院</t>
  </si>
  <si>
    <t>县数据信息中心</t>
  </si>
  <si>
    <t>20025_工作人员</t>
  </si>
  <si>
    <t>本科：土木工程、工程管理、工程造价； 研究生：土木工程</t>
  </si>
  <si>
    <t>衢州学院</t>
  </si>
  <si>
    <t xml:space="preserve">县人防工程管理服务中心 </t>
  </si>
  <si>
    <t>20026_工作人员</t>
  </si>
  <si>
    <t>大专：土木建筑大类；              本科：土木类、管理科学与工程类；                  研究生：土木工程</t>
  </si>
  <si>
    <t>大专以及上</t>
  </si>
  <si>
    <t>合肥学院</t>
  </si>
  <si>
    <t>安徽职业技术学院</t>
  </si>
  <si>
    <t>河海大学文天学院</t>
  </si>
  <si>
    <t xml:space="preserve">县燃气管理服务中心 </t>
  </si>
  <si>
    <t>20027_工作人员</t>
  </si>
  <si>
    <t>枣庄学院</t>
  </si>
  <si>
    <t>31周岁以下</t>
  </si>
  <si>
    <t xml:space="preserve">县建筑工程消防设计审查中心 </t>
  </si>
  <si>
    <t>20028_工作人员</t>
  </si>
  <si>
    <t>合肥滨湖职业技术学院</t>
  </si>
  <si>
    <t>安徽交通职业技术学院</t>
  </si>
  <si>
    <t>安徽工业经济职业技术学院</t>
  </si>
  <si>
    <t xml:space="preserve">县蔡洼红色旅游景区管理服务中心 </t>
  </si>
  <si>
    <t>20029_工作人员</t>
  </si>
  <si>
    <t>本科：法学、汉语言文学、旅游管理；研究生：法学、中国语言文学、旅游管理</t>
  </si>
  <si>
    <t>辽东学院</t>
  </si>
  <si>
    <t>县房屋征收管理服务中心</t>
  </si>
  <si>
    <t>20030_工作人员</t>
  </si>
  <si>
    <t>本科：建筑学 ；研究生：专业不限</t>
  </si>
  <si>
    <t>安徽师范大学</t>
  </si>
  <si>
    <t>20031_工作人员</t>
  </si>
  <si>
    <t>本科：秘书学；研究生：专业不限</t>
  </si>
  <si>
    <t>华中农业大学</t>
  </si>
  <si>
    <t>20032_工作人员</t>
  </si>
  <si>
    <t>本科：法学；研究生：专业不限</t>
  </si>
  <si>
    <t>安徽大学</t>
  </si>
  <si>
    <t xml:space="preserve">张江萧县高新技术产业管理服务中心 </t>
  </si>
  <si>
    <t>20034_工作人员</t>
  </si>
  <si>
    <t>本科：中国语言文学类、新闻传播学类、电子信息类、计算机类；研究生：中国语言文学、新闻传播学</t>
  </si>
  <si>
    <t>35周岁及以下</t>
  </si>
  <si>
    <t>2年以上工作经验</t>
  </si>
  <si>
    <t>南京理工大学</t>
  </si>
  <si>
    <t>安徽财经大学</t>
  </si>
  <si>
    <t>中国矿业大学</t>
  </si>
  <si>
    <t>20035_工作人员</t>
  </si>
  <si>
    <t>本科：财政学类、会计学、财务管理 ；研究生：财政学、会计学、企业管理</t>
  </si>
  <si>
    <t xml:space="preserve">2年以上财务工作经验，且拥有会计职称。如报考者具有5年以上财务工作经验，且拥有会计职称，可以不做学位限制。
</t>
  </si>
  <si>
    <t>大连财经学院</t>
  </si>
  <si>
    <t>安徽大学江淮学院</t>
  </si>
  <si>
    <t xml:space="preserve">县凤山森林公园管理服务中心 </t>
  </si>
  <si>
    <t>20037_工作人员</t>
  </si>
  <si>
    <t>安徽工商职业学院</t>
  </si>
  <si>
    <t xml:space="preserve">县黄河故道湿地管理处 </t>
  </si>
  <si>
    <t>20038_工作人员</t>
  </si>
  <si>
    <t>大专：园林技术；本科：林学；研究生：林学</t>
  </si>
  <si>
    <t>临沂大学</t>
  </si>
  <si>
    <t>20039_工作人员</t>
  </si>
  <si>
    <t>安徽农业大学经济技术学院</t>
  </si>
  <si>
    <t xml:space="preserve">县土地储备中心 </t>
  </si>
  <si>
    <t>20040_工作人员</t>
  </si>
  <si>
    <t>本科：土地资源管理；研究生：土地资源管理</t>
  </si>
  <si>
    <t xml:space="preserve">县老干部活动中心 </t>
  </si>
  <si>
    <t>20041_工作人员</t>
  </si>
  <si>
    <t>本科：汉语言文学；研究生：汉语言文字学</t>
  </si>
  <si>
    <t>中国矿业大学徐海学院</t>
  </si>
  <si>
    <t>信阳学院</t>
  </si>
  <si>
    <t xml:space="preserve">县防汛抗旱指挥中心 </t>
  </si>
  <si>
    <t>20042_工作人员</t>
  </si>
  <si>
    <t>本科：水利水电工程、水文与水资源工程 ；研究生：水利水电工程、水文学及水资源</t>
  </si>
  <si>
    <t>20043_工作人员</t>
  </si>
  <si>
    <t>本科：计算机科学与技术、网络工程；            研究生：计算机应用技术、计算机软件与理论</t>
  </si>
  <si>
    <t>巢湖学院</t>
  </si>
  <si>
    <t xml:space="preserve">县法律援助中心 </t>
  </si>
  <si>
    <t>20046_工作人员</t>
  </si>
  <si>
    <t>通过国家统一法律职业资格考试，取得法律职业资格证</t>
  </si>
  <si>
    <t xml:space="preserve">乡镇财政所 </t>
  </si>
  <si>
    <t>20047_工作人员</t>
  </si>
  <si>
    <t>本科：经济学类、财政学类、金融学、金融工程、统计学、会计学、财务管理、审计学；研究生：应用经济学、会计学</t>
  </si>
  <si>
    <t>32周岁以下</t>
  </si>
  <si>
    <t>安徽师范大学皖江学院</t>
  </si>
  <si>
    <t>33周岁以下</t>
  </si>
  <si>
    <t>吉林化工学院</t>
  </si>
  <si>
    <t>34周岁以下</t>
  </si>
  <si>
    <t>宿州学院</t>
  </si>
  <si>
    <t xml:space="preserve">县国有资产管理服务中心 </t>
  </si>
  <si>
    <t>20048_工作人员</t>
  </si>
  <si>
    <t>中南林业科技大学</t>
  </si>
  <si>
    <t xml:space="preserve">县疾病预防控制中心 </t>
  </si>
  <si>
    <t>20049_工作人员</t>
  </si>
  <si>
    <t>大专：临床医学；本科：临床医学</t>
  </si>
  <si>
    <t>皖西卫生职业学院</t>
  </si>
  <si>
    <t>安庆医药高等专科学校</t>
  </si>
  <si>
    <t>20050_工作人员</t>
  </si>
  <si>
    <t>公共卫生与预防医学类</t>
  </si>
  <si>
    <t>皖南医学院</t>
  </si>
  <si>
    <t>蚌埠医学院</t>
  </si>
  <si>
    <t>20051_工作人员</t>
  </si>
  <si>
    <t>大专：医学检验技术；本科：医学检验技术</t>
  </si>
  <si>
    <t>36周岁以下</t>
  </si>
  <si>
    <t>大庆医学高等专科学校</t>
  </si>
  <si>
    <t xml:space="preserve">县疾病预防控制中心乡镇分中心 </t>
  </si>
  <si>
    <t>20052_工作人员</t>
  </si>
  <si>
    <t>河北沧州医学高等专科学校</t>
  </si>
  <si>
    <t>齐鲁医药学院</t>
  </si>
  <si>
    <t>安徽卫生健康职业学院</t>
  </si>
  <si>
    <t>菏泽医学专科学校</t>
  </si>
  <si>
    <t>安徽医学高等专科学校</t>
  </si>
  <si>
    <t>20054_工作人员</t>
  </si>
  <si>
    <t xml:space="preserve">应届毕业生。       </t>
  </si>
  <si>
    <t>重庆三峡医药高等专科学校</t>
  </si>
  <si>
    <t>滁州城市职业学院</t>
  </si>
  <si>
    <t>20055_工作人员</t>
  </si>
  <si>
    <t>苏州卫生职业技术学院</t>
  </si>
  <si>
    <t>皖北卫生职业学院</t>
  </si>
  <si>
    <t>20058_工作人员</t>
  </si>
  <si>
    <t>大专：财务会计类；本科：财务管理</t>
  </si>
  <si>
    <t>安徽现代信息工程职业学院</t>
  </si>
  <si>
    <t>安徽三联学院</t>
  </si>
  <si>
    <t>20060_工作人员</t>
  </si>
  <si>
    <t>大专：计算机应用技术；本科：计算机科学与技术</t>
  </si>
  <si>
    <t xml:space="preserve">   应届毕业生。       </t>
  </si>
  <si>
    <t>阜阳师范学院</t>
  </si>
  <si>
    <t>长春建筑学院</t>
  </si>
  <si>
    <t>东莞理工学院城市学院</t>
  </si>
  <si>
    <t>安徽财贸职业学院</t>
  </si>
  <si>
    <t xml:space="preserve">县融媒体中心 </t>
  </si>
  <si>
    <t>20061_工作人员</t>
  </si>
  <si>
    <t>本科:网络与新媒体；研究生：新闻传播学</t>
  </si>
  <si>
    <t>本科学历25周岁及以下，研究生学历28周岁以下</t>
  </si>
  <si>
    <t>应届毕业生   研究生学历报考者，本科专业须与本岗位要求一致</t>
  </si>
  <si>
    <t>20062_工作人员</t>
  </si>
  <si>
    <t>本科：新闻学、广播电视学、汉语言文学；研究生：新闻传播学</t>
  </si>
  <si>
    <t>本科学历25周岁及以下，研究生学历29周岁以下</t>
  </si>
  <si>
    <t>20063_工作人员</t>
  </si>
  <si>
    <t>本科：数字媒体技术；研究生：计算机应用技术</t>
  </si>
  <si>
    <t>20064_工作人员</t>
  </si>
  <si>
    <r>
      <rPr>
        <sz val="12"/>
        <rFont val="仿宋"/>
        <charset val="134"/>
      </rPr>
      <t>本科：数字媒体艺术、动画</t>
    </r>
    <r>
      <rPr>
        <sz val="12"/>
        <rFont val="Times New Roman"/>
        <charset val="134"/>
      </rPr>
      <t> </t>
    </r>
    <r>
      <rPr>
        <sz val="12"/>
        <rFont val="仿宋"/>
        <charset val="134"/>
      </rPr>
      <t xml:space="preserve">                研究生：广播电视艺术学</t>
    </r>
  </si>
  <si>
    <t>吉林动画学院</t>
  </si>
  <si>
    <t xml:space="preserve">县全社会节能监察中心 </t>
  </si>
  <si>
    <t>20065_工作人员</t>
  </si>
  <si>
    <r>
      <rPr>
        <sz val="12"/>
        <rFont val="仿宋"/>
        <charset val="134"/>
      </rPr>
      <t>本科：经济学、资源与环境经济学、资源环境科学、能源动力类</t>
    </r>
    <r>
      <rPr>
        <sz val="10.5"/>
        <rFont val="仿宋"/>
        <charset val="134"/>
      </rPr>
      <t>；</t>
    </r>
    <r>
      <rPr>
        <sz val="12"/>
        <rFont val="仿宋"/>
        <charset val="134"/>
      </rPr>
      <t>研究生：经济学、环境科学与工程</t>
    </r>
  </si>
  <si>
    <t xml:space="preserve"> 本科及以上</t>
  </si>
  <si>
    <t xml:space="preserve">县价格认证中心 </t>
  </si>
  <si>
    <t>20066_工作人员</t>
  </si>
  <si>
    <t>本科：经济学、统计学                           研究生：经济学</t>
  </si>
  <si>
    <t xml:space="preserve">县价格信息咨询服务中心 </t>
  </si>
  <si>
    <t>20067_工作人员</t>
  </si>
  <si>
    <t xml:space="preserve">县农村能源管理中心 </t>
  </si>
  <si>
    <t>20068_工作人员</t>
  </si>
  <si>
    <t>大专：计算机类、文秘类、统计类；
本科：计算机类、中国语言文学类、应用统计学；
研究生：计算机科学与技术、汉语言文字学、统计学</t>
  </si>
  <si>
    <t xml:space="preserve">县农业广播电视学校 </t>
  </si>
  <si>
    <t>20069_工作人员</t>
  </si>
  <si>
    <t>大专：计算机类；
本科：计算机类；
研究生：计算机科学与技术</t>
  </si>
  <si>
    <t>20070_工作人员</t>
  </si>
  <si>
    <t xml:space="preserve">县农业技术推广中心 </t>
  </si>
  <si>
    <t>20072_工作人员</t>
  </si>
  <si>
    <t>本科：环境科学；研究生：环境科学</t>
  </si>
  <si>
    <t>20073_工作人员</t>
  </si>
  <si>
    <t xml:space="preserve">县畜牧兽医水产服务中心 </t>
  </si>
  <si>
    <t>20075_工作人员</t>
  </si>
  <si>
    <t>大专：畜牧兽医、动物医学、动物防疫与检疫；本科：动物医学类；        研究生：兽医学</t>
  </si>
  <si>
    <t>20077_工作人员</t>
  </si>
  <si>
    <t>本科：生物科学；研究生：生物学。</t>
  </si>
  <si>
    <t xml:space="preserve">县涵闸管理所 </t>
  </si>
  <si>
    <t>20078_工作人员</t>
  </si>
  <si>
    <t xml:space="preserve">大专：水利大类、机电设备类、自动化类；本科：水利类、机械设计制造及其自动化、机械工程；研究生：水利工程
</t>
  </si>
  <si>
    <t xml:space="preserve">县永堌水库管理所 </t>
  </si>
  <si>
    <t>20079_工作人员</t>
  </si>
  <si>
    <t>大专：水利大类；本科：水利类；    研究生：水利工程</t>
  </si>
  <si>
    <t xml:space="preserve">   应届毕业生</t>
  </si>
  <si>
    <t xml:space="preserve">县淮水北调工程管理中心 </t>
  </si>
  <si>
    <t>20080_工作人员</t>
  </si>
  <si>
    <t xml:space="preserve">县农村饮水安全工程管理站 </t>
  </si>
  <si>
    <t>20081_工作人员</t>
  </si>
  <si>
    <t>大专：机电设备类；
本科：电气工程及其自动化、电子科学与技术；研究生：电气工程</t>
  </si>
  <si>
    <t xml:space="preserve">县重点工程建设管理中心 </t>
  </si>
  <si>
    <t>20082_工作人员</t>
  </si>
  <si>
    <t>本科：土木类、建筑类、测绘类、工程管理、工程造价、地理信息科学；        研究生：建筑学、土木工程、测绘科学与技术、地理学</t>
  </si>
  <si>
    <t xml:space="preserve">萧县循环工业园管理服务中心 </t>
  </si>
  <si>
    <t>20084_工作人员</t>
  </si>
  <si>
    <t>大专：新闻传播大类、财务会计类；                    本科：新闻传播学类、中国语言文学类、会计学；                        研究生：新闻传播学、中国语言文学、会计学</t>
  </si>
  <si>
    <t>20085_工作人员</t>
  </si>
  <si>
    <t>大专：统计类、电子商务类；                        本科：应用统计学、经济学类、电子商务类；                            研究生：应用经济学；</t>
  </si>
  <si>
    <t xml:space="preserve">杜楼镇民政所 </t>
  </si>
  <si>
    <t>20087_工作人员</t>
  </si>
  <si>
    <t xml:space="preserve">杜楼镇文化站 </t>
  </si>
  <si>
    <t>20088_工作人员</t>
  </si>
  <si>
    <t xml:space="preserve">杜楼镇农经站 </t>
  </si>
  <si>
    <t>20089_工作人员</t>
  </si>
  <si>
    <t xml:space="preserve">龙城镇民政所 </t>
  </si>
  <si>
    <t>20091_工作人员</t>
  </si>
  <si>
    <t>本科：汉语言文学、法学；                    研究生：汉语言文字学、法学、计算机科学与技术</t>
  </si>
  <si>
    <t xml:space="preserve">黄口镇文化站 </t>
  </si>
  <si>
    <t>20092_工作人员</t>
  </si>
  <si>
    <t xml:space="preserve">闫集镇文化站 </t>
  </si>
  <si>
    <t>20093_工作人员</t>
  </si>
  <si>
    <t>乡镇农经站</t>
  </si>
  <si>
    <t>20094_工作人员</t>
  </si>
  <si>
    <t>马井镇、孙圩子乡各1人。按照考生最终成绩排名从高分到低分依次选岗。</t>
  </si>
  <si>
    <t>乡镇民政所</t>
  </si>
  <si>
    <t>20095_工作人员</t>
  </si>
  <si>
    <t>酒店乡、祖楼镇、王寨镇各1人，张庄寨镇、杨楼镇2人。按照考生最终成绩排名从高分到低分依次选岗。</t>
  </si>
  <si>
    <t>20096_工作人员</t>
  </si>
  <si>
    <t>应届毕业生       圣泉乡、马井镇各1人。按照考生最终成绩排名从高分到低分依次选岗。</t>
  </si>
  <si>
    <t>乡镇文化站</t>
  </si>
  <si>
    <t>20097_工作人员</t>
  </si>
  <si>
    <t>官桥镇、孙圩子乡各1人、祖楼镇2人、新庄镇3人。按照考生最终成绩排名从高分到低分依次选岗。</t>
  </si>
  <si>
    <t>20098_工作人员</t>
  </si>
  <si>
    <t>王寨镇、大屯镇各1人、酒店乡2人、刘套镇3人。按照考生最终成绩排名从高分到低分依次选岗。</t>
  </si>
  <si>
    <t>20099_工作人员</t>
  </si>
  <si>
    <t xml:space="preserve">    应届毕业生       圣泉乡、马井镇各1人，丁里镇2人。按照考生最终成绩排名从高分到低分依次选岗。</t>
  </si>
  <si>
    <t xml:space="preserve">乡镇退役军人服务管理站 </t>
  </si>
  <si>
    <t>20100_工作人员</t>
  </si>
  <si>
    <t>杜楼镇、大屯镇、永堌镇、杨楼镇各1名，青龙镇、张庄寨镇各2名。按照考生最终成绩排名从高分到低分依次选岗。</t>
  </si>
  <si>
    <t>20101_工作人员</t>
  </si>
  <si>
    <t>赵庄镇、刘套镇、孙圩子乡、闫集镇、祖楼镇、新庄镇、王寨镇各1名。按照考生最终成绩排名从高分到低分依次选岗。</t>
  </si>
  <si>
    <t>20102_工作人员</t>
  </si>
  <si>
    <t xml:space="preserve"> 龙城镇、酒店乡、黄口镇、石林乡、官桥镇各1名，庄里乡2名。按照考生最终成绩排名从高分到低分依次选岗。</t>
  </si>
  <si>
    <t>20103_工作人员</t>
  </si>
  <si>
    <t xml:space="preserve">    应届毕业生       丁里镇、马井镇、圣泉乡各1名，白土镇2名。按照考生最终成绩排名从高分到低分依次选岗。</t>
  </si>
  <si>
    <t xml:space="preserve">乡镇统计站 </t>
  </si>
  <si>
    <t>20104_工作人员</t>
  </si>
  <si>
    <t xml:space="preserve">  应届毕业生。     龙城镇、杜楼镇、圣泉乡各1名。按照考生最终成绩排名从高分到低分依次选岗。</t>
  </si>
  <si>
    <t>20105_工作人员</t>
  </si>
  <si>
    <t>龙城镇、新庄镇、黄口镇、酒店乡、赵庄镇各1名，张庄寨镇2名。按照考生最终成绩排名从高分到低分依次选岗。</t>
  </si>
  <si>
    <t>20106_工作人员</t>
  </si>
  <si>
    <t>杨楼镇、马井镇、孙圩子乡、大屯镇、祖楼镇、闫集镇各1名，王寨镇2名。按照考生最终成绩排名从高分到低分依次选岗。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</si>
</sst>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Helv"/>
      <charset val="0"/>
    </font>
    <font>
      <sz val="10"/>
      <name val="Arial"/>
      <charset val="0"/>
    </font>
    <font>
      <sz val="12"/>
      <name val="仿宋"/>
      <charset val="134"/>
    </font>
    <font>
      <sz val="12"/>
      <name val="Times New Roman"/>
      <charset val="134"/>
    </font>
    <font>
      <sz val="10.5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15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0" borderId="0"/>
    <xf numFmtId="0" fontId="25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5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abSelected="1" topLeftCell="A204" workbookViewId="0">
      <selection activeCell="G206" sqref="G206"/>
    </sheetView>
  </sheetViews>
  <sheetFormatPr defaultColWidth="9" defaultRowHeight="14.25"/>
  <cols>
    <col min="1" max="1" width="21.5" style="2" customWidth="1"/>
    <col min="2" max="2" width="14.125" style="2" customWidth="1"/>
    <col min="3" max="3" width="18.375" style="2" customWidth="1"/>
    <col min="4" max="5" width="11.125" style="2" customWidth="1"/>
    <col min="6" max="6" width="15.125" style="2" customWidth="1"/>
    <col min="7" max="7" width="11.125" style="2" customWidth="1"/>
    <col min="8" max="8" width="7.5" style="2" customWidth="1"/>
    <col min="9" max="9" width="14.75" style="2" customWidth="1"/>
    <col min="10" max="10" width="8.5" style="2" customWidth="1"/>
    <col min="11" max="11" width="8.125" style="3" customWidth="1"/>
    <col min="12" max="16384" width="9" style="2"/>
  </cols>
  <sheetData>
    <row r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4</v>
      </c>
      <c r="K2" s="5" t="s">
        <v>10</v>
      </c>
    </row>
    <row r="3" spans="1:11">
      <c r="A3" s="6"/>
      <c r="B3" s="6"/>
      <c r="C3" s="6" t="s">
        <v>11</v>
      </c>
      <c r="D3" s="6" t="s">
        <v>4</v>
      </c>
      <c r="E3" s="6" t="s">
        <v>5</v>
      </c>
      <c r="F3" s="6" t="s">
        <v>6</v>
      </c>
      <c r="G3" s="6"/>
      <c r="H3" s="6"/>
      <c r="I3" s="6"/>
      <c r="J3" s="6"/>
      <c r="K3" s="6"/>
    </row>
    <row r="4" s="1" customFormat="1" ht="54" spans="1:11">
      <c r="A4" s="7" t="s">
        <v>12</v>
      </c>
      <c r="B4" s="8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8" t="str">
        <f>"2020100111"</f>
        <v>2020100111</v>
      </c>
      <c r="H4" s="8" t="str">
        <f>"郑尧"</f>
        <v>郑尧</v>
      </c>
      <c r="I4" s="7" t="s">
        <v>18</v>
      </c>
      <c r="J4" s="7" t="s">
        <v>19</v>
      </c>
      <c r="K4" s="8">
        <v>72.27</v>
      </c>
    </row>
    <row r="5" s="1" customFormat="1" ht="54" spans="1:11">
      <c r="A5" s="7" t="s">
        <v>12</v>
      </c>
      <c r="B5" s="8" t="s">
        <v>20</v>
      </c>
      <c r="C5" s="7" t="s">
        <v>21</v>
      </c>
      <c r="D5" s="7" t="s">
        <v>15</v>
      </c>
      <c r="E5" s="7" t="s">
        <v>16</v>
      </c>
      <c r="F5" s="7" t="s">
        <v>22</v>
      </c>
      <c r="G5" s="8" t="str">
        <f>"2020100304"</f>
        <v>2020100304</v>
      </c>
      <c r="H5" s="8" t="str">
        <f>"李璐婵"</f>
        <v>李璐婵</v>
      </c>
      <c r="I5" s="7" t="s">
        <v>23</v>
      </c>
      <c r="J5" s="7" t="s">
        <v>24</v>
      </c>
      <c r="K5" s="8">
        <v>75.94</v>
      </c>
    </row>
    <row r="6" s="1" customFormat="1" ht="54" spans="1:11">
      <c r="A6" s="7" t="s">
        <v>12</v>
      </c>
      <c r="B6" s="8" t="s">
        <v>20</v>
      </c>
      <c r="C6" s="7" t="s">
        <v>21</v>
      </c>
      <c r="D6" s="7" t="s">
        <v>15</v>
      </c>
      <c r="E6" s="7" t="s">
        <v>16</v>
      </c>
      <c r="F6" s="7" t="s">
        <v>22</v>
      </c>
      <c r="G6" s="8" t="str">
        <f>"2020100215"</f>
        <v>2020100215</v>
      </c>
      <c r="H6" s="8" t="str">
        <f>"郝洋"</f>
        <v>郝洋</v>
      </c>
      <c r="I6" s="7" t="s">
        <v>25</v>
      </c>
      <c r="J6" s="7" t="s">
        <v>19</v>
      </c>
      <c r="K6" s="7">
        <v>75.78</v>
      </c>
    </row>
    <row r="7" s="1" customFormat="1" ht="54" spans="1:11">
      <c r="A7" s="7" t="s">
        <v>26</v>
      </c>
      <c r="B7" s="8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8" t="str">
        <f>"2020100309"</f>
        <v>2020100309</v>
      </c>
      <c r="H7" s="8" t="str">
        <f>"刘昊"</f>
        <v>刘昊</v>
      </c>
      <c r="I7" s="7" t="s">
        <v>32</v>
      </c>
      <c r="J7" s="7" t="s">
        <v>19</v>
      </c>
      <c r="K7" s="8">
        <v>72.8</v>
      </c>
    </row>
    <row r="8" s="1" customFormat="1" ht="54" spans="1:11">
      <c r="A8" s="7" t="s">
        <v>26</v>
      </c>
      <c r="B8" s="8" t="s">
        <v>27</v>
      </c>
      <c r="C8" s="7" t="s">
        <v>28</v>
      </c>
      <c r="D8" s="7" t="s">
        <v>29</v>
      </c>
      <c r="E8" s="7" t="s">
        <v>30</v>
      </c>
      <c r="F8" s="7" t="s">
        <v>31</v>
      </c>
      <c r="G8" s="8" t="str">
        <f>"2020100308"</f>
        <v>2020100308</v>
      </c>
      <c r="H8" s="8" t="str">
        <f>"武展宇"</f>
        <v>武展宇</v>
      </c>
      <c r="I8" s="7" t="s">
        <v>33</v>
      </c>
      <c r="J8" s="7" t="s">
        <v>19</v>
      </c>
      <c r="K8" s="8">
        <v>72.74</v>
      </c>
    </row>
    <row r="9" s="1" customFormat="1" ht="25" customHeight="1" spans="1:11">
      <c r="A9" s="7" t="s">
        <v>34</v>
      </c>
      <c r="B9" s="8" t="s">
        <v>35</v>
      </c>
      <c r="C9" s="7" t="s">
        <v>21</v>
      </c>
      <c r="D9" s="7" t="s">
        <v>29</v>
      </c>
      <c r="E9" s="7" t="s">
        <v>30</v>
      </c>
      <c r="F9" s="7" t="s">
        <v>31</v>
      </c>
      <c r="G9" s="8" t="str">
        <f>"2020100614"</f>
        <v>2020100614</v>
      </c>
      <c r="H9" s="8" t="str">
        <f>"冯玉杰"</f>
        <v>冯玉杰</v>
      </c>
      <c r="I9" s="7" t="s">
        <v>36</v>
      </c>
      <c r="J9" s="7" t="s">
        <v>19</v>
      </c>
      <c r="K9" s="8">
        <v>76.44</v>
      </c>
    </row>
    <row r="10" s="1" customFormat="1" ht="27" spans="1:11">
      <c r="A10" s="7" t="s">
        <v>37</v>
      </c>
      <c r="B10" s="8" t="s">
        <v>38</v>
      </c>
      <c r="C10" s="7" t="s">
        <v>21</v>
      </c>
      <c r="D10" s="7" t="s">
        <v>39</v>
      </c>
      <c r="E10" s="7" t="s">
        <v>30</v>
      </c>
      <c r="F10" s="7" t="s">
        <v>31</v>
      </c>
      <c r="G10" s="8" t="str">
        <f>"2020100806"</f>
        <v>2020100806</v>
      </c>
      <c r="H10" s="8" t="str">
        <f>"王嘉琪"</f>
        <v>王嘉琪</v>
      </c>
      <c r="I10" s="7" t="s">
        <v>40</v>
      </c>
      <c r="J10" s="7" t="s">
        <v>41</v>
      </c>
      <c r="K10" s="8">
        <v>73.81</v>
      </c>
    </row>
    <row r="11" s="1" customFormat="1" ht="40.5" spans="1:11">
      <c r="A11" s="7" t="s">
        <v>37</v>
      </c>
      <c r="B11" s="8" t="s">
        <v>42</v>
      </c>
      <c r="C11" s="7" t="s">
        <v>43</v>
      </c>
      <c r="D11" s="7" t="s">
        <v>39</v>
      </c>
      <c r="E11" s="7" t="s">
        <v>30</v>
      </c>
      <c r="F11" s="7" t="s">
        <v>31</v>
      </c>
      <c r="G11" s="8" t="str">
        <f>"2020100827"</f>
        <v>2020100827</v>
      </c>
      <c r="H11" s="8" t="str">
        <f>"梁陈陈"</f>
        <v>梁陈陈</v>
      </c>
      <c r="I11" s="7" t="s">
        <v>44</v>
      </c>
      <c r="J11" s="7" t="s">
        <v>19</v>
      </c>
      <c r="K11" s="7">
        <v>71.28</v>
      </c>
    </row>
    <row r="12" s="1" customFormat="1" ht="40.5" spans="1:11">
      <c r="A12" s="7" t="s">
        <v>45</v>
      </c>
      <c r="B12" s="8" t="s">
        <v>46</v>
      </c>
      <c r="C12" s="7" t="s">
        <v>47</v>
      </c>
      <c r="D12" s="7" t="s">
        <v>29</v>
      </c>
      <c r="E12" s="7" t="s">
        <v>30</v>
      </c>
      <c r="F12" s="7" t="s">
        <v>31</v>
      </c>
      <c r="G12" s="8" t="str">
        <f>"2020100914"</f>
        <v>2020100914</v>
      </c>
      <c r="H12" s="8" t="str">
        <f>"马子璇"</f>
        <v>马子璇</v>
      </c>
      <c r="I12" s="7" t="s">
        <v>48</v>
      </c>
      <c r="J12" s="7" t="s">
        <v>19</v>
      </c>
      <c r="K12" s="8">
        <v>74.54</v>
      </c>
    </row>
    <row r="13" s="1" customFormat="1" ht="40.5" spans="1:11">
      <c r="A13" s="7" t="s">
        <v>45</v>
      </c>
      <c r="B13" s="8" t="s">
        <v>49</v>
      </c>
      <c r="C13" s="7" t="s">
        <v>50</v>
      </c>
      <c r="D13" s="7" t="s">
        <v>29</v>
      </c>
      <c r="E13" s="7" t="s">
        <v>30</v>
      </c>
      <c r="F13" s="7" t="s">
        <v>31</v>
      </c>
      <c r="G13" s="8" t="str">
        <f>"2020101004"</f>
        <v>2020101004</v>
      </c>
      <c r="H13" s="8" t="str">
        <f>"秦子孝"</f>
        <v>秦子孝</v>
      </c>
      <c r="I13" s="7" t="s">
        <v>51</v>
      </c>
      <c r="J13" s="7" t="s">
        <v>19</v>
      </c>
      <c r="K13" s="9">
        <v>77.44</v>
      </c>
    </row>
    <row r="14" s="1" customFormat="1" ht="20" customHeight="1" spans="1:11">
      <c r="A14" s="7" t="s">
        <v>52</v>
      </c>
      <c r="B14" s="8" t="s">
        <v>53</v>
      </c>
      <c r="C14" s="7" t="s">
        <v>21</v>
      </c>
      <c r="D14" s="7" t="s">
        <v>39</v>
      </c>
      <c r="E14" s="7" t="s">
        <v>30</v>
      </c>
      <c r="F14" s="7" t="s">
        <v>31</v>
      </c>
      <c r="G14" s="8" t="str">
        <f>"2020101205"</f>
        <v>2020101205</v>
      </c>
      <c r="H14" s="8" t="str">
        <f>"琚宛如"</f>
        <v>琚宛如</v>
      </c>
      <c r="I14" s="7" t="s">
        <v>54</v>
      </c>
      <c r="J14" s="7" t="s">
        <v>19</v>
      </c>
      <c r="K14" s="10">
        <v>77.2</v>
      </c>
    </row>
    <row r="15" s="1" customFormat="1" ht="19" customHeight="1" spans="1:11">
      <c r="A15" s="7" t="s">
        <v>52</v>
      </c>
      <c r="B15" s="8" t="s">
        <v>53</v>
      </c>
      <c r="C15" s="7" t="s">
        <v>21</v>
      </c>
      <c r="D15" s="7" t="s">
        <v>39</v>
      </c>
      <c r="E15" s="7" t="s">
        <v>30</v>
      </c>
      <c r="F15" s="7" t="s">
        <v>31</v>
      </c>
      <c r="G15" s="8" t="str">
        <f>"2020101310"</f>
        <v>2020101310</v>
      </c>
      <c r="H15" s="8" t="str">
        <f>"李洁"</f>
        <v>李洁</v>
      </c>
      <c r="I15" s="7" t="s">
        <v>55</v>
      </c>
      <c r="J15" s="7" t="s">
        <v>19</v>
      </c>
      <c r="K15" s="9">
        <v>76.44</v>
      </c>
    </row>
    <row r="16" s="1" customFormat="1" ht="18" customHeight="1" spans="1:11">
      <c r="A16" s="7" t="s">
        <v>52</v>
      </c>
      <c r="B16" s="8" t="s">
        <v>53</v>
      </c>
      <c r="C16" s="7" t="s">
        <v>21</v>
      </c>
      <c r="D16" s="7" t="s">
        <v>39</v>
      </c>
      <c r="E16" s="7" t="s">
        <v>30</v>
      </c>
      <c r="F16" s="7" t="s">
        <v>31</v>
      </c>
      <c r="G16" s="8" t="str">
        <f>"2020101204"</f>
        <v>2020101204</v>
      </c>
      <c r="H16" s="8" t="str">
        <f>"林晓宇"</f>
        <v>林晓宇</v>
      </c>
      <c r="I16" s="7" t="s">
        <v>56</v>
      </c>
      <c r="J16" s="7" t="s">
        <v>19</v>
      </c>
      <c r="K16" s="7">
        <v>75.72</v>
      </c>
    </row>
    <row r="17" s="1" customFormat="1" ht="13.5" spans="1:11">
      <c r="A17" s="7" t="s">
        <v>52</v>
      </c>
      <c r="B17" s="8" t="s">
        <v>53</v>
      </c>
      <c r="C17" s="7" t="s">
        <v>21</v>
      </c>
      <c r="D17" s="7" t="s">
        <v>39</v>
      </c>
      <c r="E17" s="7" t="s">
        <v>30</v>
      </c>
      <c r="F17" s="7" t="s">
        <v>31</v>
      </c>
      <c r="G17" s="8" t="str">
        <f>"2020101423"</f>
        <v>2020101423</v>
      </c>
      <c r="H17" s="8" t="str">
        <f>"谢圆圆"</f>
        <v>谢圆圆</v>
      </c>
      <c r="I17" s="7" t="s">
        <v>57</v>
      </c>
      <c r="J17" s="7" t="s">
        <v>19</v>
      </c>
      <c r="K17" s="7">
        <v>75.26</v>
      </c>
    </row>
    <row r="18" s="1" customFormat="1" ht="27" spans="1:11">
      <c r="A18" s="7" t="s">
        <v>52</v>
      </c>
      <c r="B18" s="8" t="s">
        <v>53</v>
      </c>
      <c r="C18" s="7" t="s">
        <v>21</v>
      </c>
      <c r="D18" s="7" t="s">
        <v>39</v>
      </c>
      <c r="E18" s="7" t="s">
        <v>30</v>
      </c>
      <c r="F18" s="7" t="s">
        <v>31</v>
      </c>
      <c r="G18" s="8" t="str">
        <f>"2020101008"</f>
        <v>2020101008</v>
      </c>
      <c r="H18" s="8" t="str">
        <f>"程瑶"</f>
        <v>程瑶</v>
      </c>
      <c r="I18" s="7" t="s">
        <v>58</v>
      </c>
      <c r="J18" s="7" t="s">
        <v>19</v>
      </c>
      <c r="K18" s="7">
        <v>74.92</v>
      </c>
    </row>
    <row r="19" s="1" customFormat="1" ht="23" customHeight="1" spans="1:11">
      <c r="A19" s="7" t="s">
        <v>52</v>
      </c>
      <c r="B19" s="8" t="s">
        <v>53</v>
      </c>
      <c r="C19" s="7" t="s">
        <v>21</v>
      </c>
      <c r="D19" s="7" t="s">
        <v>39</v>
      </c>
      <c r="E19" s="7" t="s">
        <v>30</v>
      </c>
      <c r="F19" s="7" t="s">
        <v>31</v>
      </c>
      <c r="G19" s="8" t="str">
        <f>"2020101503"</f>
        <v>2020101503</v>
      </c>
      <c r="H19" s="8" t="str">
        <f>"李晓冬"</f>
        <v>李晓冬</v>
      </c>
      <c r="I19" s="7" t="s">
        <v>59</v>
      </c>
      <c r="J19" s="7" t="s">
        <v>41</v>
      </c>
      <c r="K19" s="7">
        <v>74.38</v>
      </c>
    </row>
    <row r="20" s="1" customFormat="1" ht="67.5" spans="1:11">
      <c r="A20" s="7" t="s">
        <v>60</v>
      </c>
      <c r="B20" s="8" t="s">
        <v>61</v>
      </c>
      <c r="C20" s="7" t="s">
        <v>62</v>
      </c>
      <c r="D20" s="7" t="s">
        <v>29</v>
      </c>
      <c r="E20" s="7" t="s">
        <v>63</v>
      </c>
      <c r="F20" s="7" t="s">
        <v>31</v>
      </c>
      <c r="G20" s="8" t="str">
        <f>"2020101513"</f>
        <v>2020101513</v>
      </c>
      <c r="H20" s="8" t="str">
        <f>"李萌"</f>
        <v>李萌</v>
      </c>
      <c r="I20" s="7" t="s">
        <v>58</v>
      </c>
      <c r="J20" s="7" t="s">
        <v>19</v>
      </c>
      <c r="K20" s="7">
        <v>71.66</v>
      </c>
    </row>
    <row r="21" s="1" customFormat="1" ht="67.5" spans="1:11">
      <c r="A21" s="7" t="s">
        <v>60</v>
      </c>
      <c r="B21" s="8" t="s">
        <v>64</v>
      </c>
      <c r="C21" s="7" t="s">
        <v>65</v>
      </c>
      <c r="D21" s="7" t="s">
        <v>29</v>
      </c>
      <c r="E21" s="7" t="s">
        <v>63</v>
      </c>
      <c r="F21" s="7" t="s">
        <v>31</v>
      </c>
      <c r="G21" s="8" t="str">
        <f>"2020101516"</f>
        <v>2020101516</v>
      </c>
      <c r="H21" s="8" t="str">
        <f>"江原野"</f>
        <v>江原野</v>
      </c>
      <c r="I21" s="7" t="s">
        <v>66</v>
      </c>
      <c r="J21" s="7" t="s">
        <v>19</v>
      </c>
      <c r="K21" s="7">
        <v>75.44</v>
      </c>
    </row>
    <row r="22" s="1" customFormat="1" ht="67.5" spans="1:11">
      <c r="A22" s="7" t="s">
        <v>60</v>
      </c>
      <c r="B22" s="8" t="s">
        <v>64</v>
      </c>
      <c r="C22" s="7" t="s">
        <v>65</v>
      </c>
      <c r="D22" s="7" t="s">
        <v>29</v>
      </c>
      <c r="E22" s="7" t="s">
        <v>63</v>
      </c>
      <c r="F22" s="7" t="s">
        <v>31</v>
      </c>
      <c r="G22" s="8" t="str">
        <f>"2020101514"</f>
        <v>2020101514</v>
      </c>
      <c r="H22" s="8" t="str">
        <f>"曹倩文"</f>
        <v>曹倩文</v>
      </c>
      <c r="I22" s="7" t="s">
        <v>66</v>
      </c>
      <c r="J22" s="7" t="s">
        <v>19</v>
      </c>
      <c r="K22" s="7">
        <v>73.41</v>
      </c>
    </row>
    <row r="23" s="1" customFormat="1" ht="31" customHeight="1" spans="1:11">
      <c r="A23" s="7" t="s">
        <v>67</v>
      </c>
      <c r="B23" s="8" t="s">
        <v>68</v>
      </c>
      <c r="C23" s="7" t="s">
        <v>21</v>
      </c>
      <c r="D23" s="7" t="s">
        <v>39</v>
      </c>
      <c r="E23" s="7" t="s">
        <v>63</v>
      </c>
      <c r="F23" s="7" t="s">
        <v>31</v>
      </c>
      <c r="G23" s="8" t="str">
        <f>"2020101917"</f>
        <v>2020101917</v>
      </c>
      <c r="H23" s="8" t="str">
        <f>"杨硕"</f>
        <v>杨硕</v>
      </c>
      <c r="I23" s="7" t="s">
        <v>69</v>
      </c>
      <c r="J23" s="7" t="s">
        <v>19</v>
      </c>
      <c r="K23" s="7">
        <v>76.09</v>
      </c>
    </row>
    <row r="24" s="1" customFormat="1" ht="31" customHeight="1" spans="1:11">
      <c r="A24" s="7" t="s">
        <v>67</v>
      </c>
      <c r="B24" s="8" t="s">
        <v>68</v>
      </c>
      <c r="C24" s="7" t="s">
        <v>21</v>
      </c>
      <c r="D24" s="7" t="s">
        <v>39</v>
      </c>
      <c r="E24" s="7" t="s">
        <v>63</v>
      </c>
      <c r="F24" s="7" t="s">
        <v>31</v>
      </c>
      <c r="G24" s="8" t="str">
        <f>"2020101820"</f>
        <v>2020101820</v>
      </c>
      <c r="H24" s="8" t="str">
        <f>"董运巧"</f>
        <v>董运巧</v>
      </c>
      <c r="I24" s="7" t="s">
        <v>70</v>
      </c>
      <c r="J24" s="7" t="s">
        <v>41</v>
      </c>
      <c r="K24" s="11">
        <v>75.5</v>
      </c>
    </row>
    <row r="25" s="1" customFormat="1" ht="31" customHeight="1" spans="1:11">
      <c r="A25" s="7" t="s">
        <v>67</v>
      </c>
      <c r="B25" s="8" t="s">
        <v>68</v>
      </c>
      <c r="C25" s="7" t="s">
        <v>21</v>
      </c>
      <c r="D25" s="7" t="s">
        <v>39</v>
      </c>
      <c r="E25" s="7" t="s">
        <v>63</v>
      </c>
      <c r="F25" s="7" t="s">
        <v>31</v>
      </c>
      <c r="G25" s="8" t="str">
        <f>"2020101915"</f>
        <v>2020101915</v>
      </c>
      <c r="H25" s="8" t="str">
        <f>"顾心愿"</f>
        <v>顾心愿</v>
      </c>
      <c r="I25" s="7" t="s">
        <v>71</v>
      </c>
      <c r="J25" s="7" t="s">
        <v>19</v>
      </c>
      <c r="K25" s="11">
        <v>75.2</v>
      </c>
    </row>
    <row r="26" s="1" customFormat="1" ht="31" customHeight="1" spans="1:11">
      <c r="A26" s="7" t="s">
        <v>67</v>
      </c>
      <c r="B26" s="8" t="s">
        <v>68</v>
      </c>
      <c r="C26" s="7" t="s">
        <v>21</v>
      </c>
      <c r="D26" s="7" t="s">
        <v>39</v>
      </c>
      <c r="E26" s="7" t="s">
        <v>63</v>
      </c>
      <c r="F26" s="7" t="s">
        <v>31</v>
      </c>
      <c r="G26" s="8" t="str">
        <f>"2020101604"</f>
        <v>2020101604</v>
      </c>
      <c r="H26" s="8" t="str">
        <f>"张璐"</f>
        <v>张璐</v>
      </c>
      <c r="I26" s="7" t="s">
        <v>72</v>
      </c>
      <c r="J26" s="7" t="s">
        <v>19</v>
      </c>
      <c r="K26" s="7">
        <v>74.97</v>
      </c>
    </row>
    <row r="27" s="1" customFormat="1" ht="31" customHeight="1" spans="1:11">
      <c r="A27" s="7" t="s">
        <v>73</v>
      </c>
      <c r="B27" s="8" t="s">
        <v>74</v>
      </c>
      <c r="C27" s="7" t="s">
        <v>21</v>
      </c>
      <c r="D27" s="7" t="s">
        <v>39</v>
      </c>
      <c r="E27" s="7" t="s">
        <v>63</v>
      </c>
      <c r="F27" s="7" t="s">
        <v>31</v>
      </c>
      <c r="G27" s="8" t="str">
        <f>"2020102120"</f>
        <v>2020102120</v>
      </c>
      <c r="H27" s="8" t="str">
        <f>"王艳飞"</f>
        <v>王艳飞</v>
      </c>
      <c r="I27" s="7" t="s">
        <v>44</v>
      </c>
      <c r="J27" s="7" t="s">
        <v>19</v>
      </c>
      <c r="K27" s="7">
        <v>72.78</v>
      </c>
    </row>
    <row r="28" s="1" customFormat="1" ht="31" customHeight="1" spans="1:11">
      <c r="A28" s="7" t="s">
        <v>73</v>
      </c>
      <c r="B28" s="8" t="s">
        <v>74</v>
      </c>
      <c r="C28" s="7" t="s">
        <v>21</v>
      </c>
      <c r="D28" s="7" t="s">
        <v>39</v>
      </c>
      <c r="E28" s="7" t="s">
        <v>63</v>
      </c>
      <c r="F28" s="7" t="s">
        <v>31</v>
      </c>
      <c r="G28" s="8" t="str">
        <f>"2020102311"</f>
        <v>2020102311</v>
      </c>
      <c r="H28" s="8" t="str">
        <f>"杭晨"</f>
        <v>杭晨</v>
      </c>
      <c r="I28" s="7" t="s">
        <v>75</v>
      </c>
      <c r="J28" s="7" t="s">
        <v>19</v>
      </c>
      <c r="K28" s="7">
        <v>71.95</v>
      </c>
    </row>
    <row r="29" s="1" customFormat="1" ht="31" customHeight="1" spans="1:11">
      <c r="A29" s="7" t="s">
        <v>73</v>
      </c>
      <c r="B29" s="8" t="s">
        <v>74</v>
      </c>
      <c r="C29" s="7" t="s">
        <v>21</v>
      </c>
      <c r="D29" s="7" t="s">
        <v>39</v>
      </c>
      <c r="E29" s="7" t="s">
        <v>63</v>
      </c>
      <c r="F29" s="7" t="s">
        <v>31</v>
      </c>
      <c r="G29" s="8" t="str">
        <f>"2020102307"</f>
        <v>2020102307</v>
      </c>
      <c r="H29" s="8" t="str">
        <f>"余佩霖"</f>
        <v>余佩霖</v>
      </c>
      <c r="I29" s="7" t="s">
        <v>76</v>
      </c>
      <c r="J29" s="7" t="s">
        <v>19</v>
      </c>
      <c r="K29" s="8">
        <v>71.86</v>
      </c>
    </row>
    <row r="30" s="1" customFormat="1" ht="27" spans="1:11">
      <c r="A30" s="7" t="s">
        <v>77</v>
      </c>
      <c r="B30" s="8" t="s">
        <v>78</v>
      </c>
      <c r="C30" s="7" t="s">
        <v>79</v>
      </c>
      <c r="D30" s="7" t="s">
        <v>80</v>
      </c>
      <c r="E30" s="7" t="s">
        <v>63</v>
      </c>
      <c r="F30" s="7" t="s">
        <v>31</v>
      </c>
      <c r="G30" s="8" t="str">
        <f>"2020102411"</f>
        <v>2020102411</v>
      </c>
      <c r="H30" s="8" t="str">
        <f>"张家港"</f>
        <v>张家港</v>
      </c>
      <c r="I30" s="7" t="s">
        <v>76</v>
      </c>
      <c r="J30" s="7" t="s">
        <v>19</v>
      </c>
      <c r="K30" s="7">
        <v>73.08</v>
      </c>
    </row>
    <row r="31" s="1" customFormat="1" ht="54" spans="1:11">
      <c r="A31" s="7" t="s">
        <v>77</v>
      </c>
      <c r="B31" s="8" t="s">
        <v>81</v>
      </c>
      <c r="C31" s="7" t="s">
        <v>82</v>
      </c>
      <c r="D31" s="7" t="s">
        <v>80</v>
      </c>
      <c r="E31" s="7" t="s">
        <v>63</v>
      </c>
      <c r="F31" s="7" t="s">
        <v>31</v>
      </c>
      <c r="G31" s="8" t="str">
        <f>"2020102507"</f>
        <v>2020102507</v>
      </c>
      <c r="H31" s="8" t="str">
        <f>"丁吉龙"</f>
        <v>丁吉龙</v>
      </c>
      <c r="I31" s="7" t="s">
        <v>83</v>
      </c>
      <c r="J31" s="7" t="s">
        <v>19</v>
      </c>
      <c r="K31" s="7">
        <v>74.56</v>
      </c>
    </row>
    <row r="32" s="1" customFormat="1" ht="40.5" spans="1:11">
      <c r="A32" s="7" t="s">
        <v>84</v>
      </c>
      <c r="B32" s="8" t="s">
        <v>85</v>
      </c>
      <c r="C32" s="7" t="s">
        <v>86</v>
      </c>
      <c r="D32" s="7" t="s">
        <v>29</v>
      </c>
      <c r="E32" s="7" t="s">
        <v>63</v>
      </c>
      <c r="F32" s="7" t="s">
        <v>31</v>
      </c>
      <c r="G32" s="8" t="str">
        <f>"2020102530"</f>
        <v>2020102530</v>
      </c>
      <c r="H32" s="8" t="str">
        <f>"张习"</f>
        <v>张习</v>
      </c>
      <c r="I32" s="7" t="s">
        <v>87</v>
      </c>
      <c r="J32" s="7" t="s">
        <v>19</v>
      </c>
      <c r="K32" s="7">
        <v>70.62</v>
      </c>
    </row>
    <row r="33" s="1" customFormat="1" ht="67.5" spans="1:11">
      <c r="A33" s="7" t="s">
        <v>88</v>
      </c>
      <c r="B33" s="8" t="s">
        <v>89</v>
      </c>
      <c r="C33" s="7" t="s">
        <v>90</v>
      </c>
      <c r="D33" s="7" t="s">
        <v>91</v>
      </c>
      <c r="E33" s="7" t="s">
        <v>63</v>
      </c>
      <c r="F33" s="7" t="s">
        <v>31</v>
      </c>
      <c r="G33" s="8" t="str">
        <f>"2020102712"</f>
        <v>2020102712</v>
      </c>
      <c r="H33" s="8" t="str">
        <f>"朱行想"</f>
        <v>朱行想</v>
      </c>
      <c r="I33" s="7" t="s">
        <v>92</v>
      </c>
      <c r="J33" s="7" t="s">
        <v>19</v>
      </c>
      <c r="K33" s="7">
        <v>74.45</v>
      </c>
    </row>
    <row r="34" s="1" customFormat="1" ht="67.5" spans="1:11">
      <c r="A34" s="7" t="s">
        <v>88</v>
      </c>
      <c r="B34" s="8" t="s">
        <v>89</v>
      </c>
      <c r="C34" s="7" t="s">
        <v>90</v>
      </c>
      <c r="D34" s="7" t="s">
        <v>91</v>
      </c>
      <c r="E34" s="7" t="s">
        <v>63</v>
      </c>
      <c r="F34" s="7" t="s">
        <v>31</v>
      </c>
      <c r="G34" s="8" t="str">
        <f>"2020102716"</f>
        <v>2020102716</v>
      </c>
      <c r="H34" s="8" t="str">
        <f>"纵天宇"</f>
        <v>纵天宇</v>
      </c>
      <c r="I34" s="7" t="s">
        <v>32</v>
      </c>
      <c r="J34" s="7" t="s">
        <v>19</v>
      </c>
      <c r="K34" s="7">
        <v>72.81</v>
      </c>
    </row>
    <row r="35" s="1" customFormat="1" ht="67.5" spans="1:11">
      <c r="A35" s="7" t="s">
        <v>88</v>
      </c>
      <c r="B35" s="8" t="s">
        <v>89</v>
      </c>
      <c r="C35" s="7" t="s">
        <v>90</v>
      </c>
      <c r="D35" s="7" t="s">
        <v>91</v>
      </c>
      <c r="E35" s="7" t="s">
        <v>63</v>
      </c>
      <c r="F35" s="7" t="s">
        <v>31</v>
      </c>
      <c r="G35" s="8" t="str">
        <f>"2020102611"</f>
        <v>2020102611</v>
      </c>
      <c r="H35" s="8" t="str">
        <f>"宋雨浓"</f>
        <v>宋雨浓</v>
      </c>
      <c r="I35" s="7" t="s">
        <v>93</v>
      </c>
      <c r="J35" s="7" t="s">
        <v>41</v>
      </c>
      <c r="K35" s="8">
        <v>70.81</v>
      </c>
    </row>
    <row r="36" s="1" customFormat="1" ht="67.5" spans="1:11">
      <c r="A36" s="7" t="s">
        <v>88</v>
      </c>
      <c r="B36" s="8" t="s">
        <v>89</v>
      </c>
      <c r="C36" s="7" t="s">
        <v>90</v>
      </c>
      <c r="D36" s="7" t="s">
        <v>91</v>
      </c>
      <c r="E36" s="7" t="s">
        <v>63</v>
      </c>
      <c r="F36" s="7" t="s">
        <v>31</v>
      </c>
      <c r="G36" s="8" t="str">
        <f>"2020102711"</f>
        <v>2020102711</v>
      </c>
      <c r="H36" s="8" t="str">
        <f>"高蒙"</f>
        <v>高蒙</v>
      </c>
      <c r="I36" s="7" t="s">
        <v>94</v>
      </c>
      <c r="J36" s="7" t="s">
        <v>19</v>
      </c>
      <c r="K36" s="8">
        <v>70.55</v>
      </c>
    </row>
    <row r="37" s="2" customFormat="1" spans="1:11">
      <c r="A37" s="7" t="s">
        <v>95</v>
      </c>
      <c r="B37" s="8" t="s">
        <v>96</v>
      </c>
      <c r="C37" s="7" t="s">
        <v>21</v>
      </c>
      <c r="D37" s="7" t="s">
        <v>91</v>
      </c>
      <c r="E37" s="7" t="s">
        <v>30</v>
      </c>
      <c r="F37" s="7" t="s">
        <v>31</v>
      </c>
      <c r="G37" s="8" t="str">
        <f>"2020102822"</f>
        <v>2020102822</v>
      </c>
      <c r="H37" s="8" t="str">
        <f>"何峰"</f>
        <v>何峰</v>
      </c>
      <c r="I37" s="7" t="s">
        <v>97</v>
      </c>
      <c r="J37" s="7" t="s">
        <v>41</v>
      </c>
      <c r="K37" s="11">
        <v>74.6</v>
      </c>
    </row>
    <row r="38" s="2" customFormat="1" spans="1:11">
      <c r="A38" s="7" t="s">
        <v>95</v>
      </c>
      <c r="B38" s="8" t="s">
        <v>96</v>
      </c>
      <c r="C38" s="7" t="s">
        <v>21</v>
      </c>
      <c r="D38" s="7" t="s">
        <v>91</v>
      </c>
      <c r="E38" s="7" t="s">
        <v>98</v>
      </c>
      <c r="F38" s="7" t="s">
        <v>31</v>
      </c>
      <c r="G38" s="8" t="str">
        <f>"2020102803"</f>
        <v>2020102803</v>
      </c>
      <c r="H38" s="8" t="str">
        <f>"孙晨晨"</f>
        <v>孙晨晨</v>
      </c>
      <c r="I38" s="7" t="s">
        <v>44</v>
      </c>
      <c r="J38" s="7" t="s">
        <v>19</v>
      </c>
      <c r="K38" s="8">
        <v>73.95</v>
      </c>
    </row>
    <row r="39" s="2" customFormat="1" ht="67.5" spans="1:11">
      <c r="A39" s="7" t="s">
        <v>99</v>
      </c>
      <c r="B39" s="8" t="s">
        <v>100</v>
      </c>
      <c r="C39" s="7" t="s">
        <v>90</v>
      </c>
      <c r="D39" s="7" t="s">
        <v>91</v>
      </c>
      <c r="E39" s="7" t="s">
        <v>63</v>
      </c>
      <c r="F39" s="7" t="s">
        <v>31</v>
      </c>
      <c r="G39" s="8" t="str">
        <f>"2020102922"</f>
        <v>2020102922</v>
      </c>
      <c r="H39" s="8" t="str">
        <f>"程诚"</f>
        <v>程诚</v>
      </c>
      <c r="I39" s="7" t="s">
        <v>101</v>
      </c>
      <c r="J39" s="7" t="s">
        <v>41</v>
      </c>
      <c r="K39" s="7">
        <v>74.64</v>
      </c>
    </row>
    <row r="40" s="2" customFormat="1" ht="67.5" spans="1:11">
      <c r="A40" s="7" t="s">
        <v>99</v>
      </c>
      <c r="B40" s="8" t="s">
        <v>100</v>
      </c>
      <c r="C40" s="7" t="s">
        <v>90</v>
      </c>
      <c r="D40" s="7" t="s">
        <v>91</v>
      </c>
      <c r="E40" s="7" t="s">
        <v>63</v>
      </c>
      <c r="F40" s="7" t="s">
        <v>31</v>
      </c>
      <c r="G40" s="8" t="str">
        <f>"2020102917"</f>
        <v>2020102917</v>
      </c>
      <c r="H40" s="8" t="str">
        <f>"孟皓 "</f>
        <v>孟皓 </v>
      </c>
      <c r="I40" s="7" t="s">
        <v>94</v>
      </c>
      <c r="J40" s="7" t="s">
        <v>19</v>
      </c>
      <c r="K40" s="7">
        <v>71.76</v>
      </c>
    </row>
    <row r="41" ht="67.5" spans="1:11">
      <c r="A41" s="7" t="s">
        <v>99</v>
      </c>
      <c r="B41" s="8" t="s">
        <v>100</v>
      </c>
      <c r="C41" s="7" t="s">
        <v>90</v>
      </c>
      <c r="D41" s="7" t="s">
        <v>91</v>
      </c>
      <c r="E41" s="7" t="s">
        <v>63</v>
      </c>
      <c r="F41" s="7" t="s">
        <v>31</v>
      </c>
      <c r="G41" s="8" t="str">
        <f>"2020103013"</f>
        <v>2020103013</v>
      </c>
      <c r="H41" s="8" t="str">
        <f>"常传银"</f>
        <v>常传银</v>
      </c>
      <c r="I41" s="7" t="s">
        <v>102</v>
      </c>
      <c r="J41" s="7" t="s">
        <v>41</v>
      </c>
      <c r="K41" s="7">
        <v>70.62</v>
      </c>
    </row>
    <row r="42" ht="67.5" spans="1:11">
      <c r="A42" s="7" t="s">
        <v>99</v>
      </c>
      <c r="B42" s="8" t="s">
        <v>100</v>
      </c>
      <c r="C42" s="7" t="s">
        <v>90</v>
      </c>
      <c r="D42" s="7" t="s">
        <v>91</v>
      </c>
      <c r="E42" s="7" t="s">
        <v>63</v>
      </c>
      <c r="F42" s="7" t="s">
        <v>31</v>
      </c>
      <c r="G42" s="8" t="str">
        <f>"2020103019"</f>
        <v>2020103019</v>
      </c>
      <c r="H42" s="8" t="str">
        <f>"付晓胜"</f>
        <v>付晓胜</v>
      </c>
      <c r="I42" s="7" t="s">
        <v>103</v>
      </c>
      <c r="J42" s="7" t="s">
        <v>41</v>
      </c>
      <c r="K42" s="12">
        <v>69.7</v>
      </c>
    </row>
    <row r="43" ht="54" spans="1:11">
      <c r="A43" s="7" t="s">
        <v>104</v>
      </c>
      <c r="B43" s="8" t="s">
        <v>105</v>
      </c>
      <c r="C43" s="7" t="s">
        <v>106</v>
      </c>
      <c r="D43" s="7" t="s">
        <v>29</v>
      </c>
      <c r="E43" s="7" t="s">
        <v>63</v>
      </c>
      <c r="F43" s="7" t="s">
        <v>31</v>
      </c>
      <c r="G43" s="8" t="str">
        <f>"2020103125"</f>
        <v>2020103125</v>
      </c>
      <c r="H43" s="8" t="str">
        <f>"金松"</f>
        <v>金松</v>
      </c>
      <c r="I43" s="7" t="s">
        <v>71</v>
      </c>
      <c r="J43" s="7" t="s">
        <v>19</v>
      </c>
      <c r="K43" s="7">
        <v>74.88</v>
      </c>
    </row>
    <row r="44" ht="54" spans="1:11">
      <c r="A44" s="7" t="s">
        <v>104</v>
      </c>
      <c r="B44" s="8" t="s">
        <v>105</v>
      </c>
      <c r="C44" s="7" t="s">
        <v>106</v>
      </c>
      <c r="D44" s="7" t="s">
        <v>29</v>
      </c>
      <c r="E44" s="7" t="s">
        <v>63</v>
      </c>
      <c r="F44" s="7" t="s">
        <v>31</v>
      </c>
      <c r="G44" s="8" t="str">
        <f>"2020103108"</f>
        <v>2020103108</v>
      </c>
      <c r="H44" s="8" t="str">
        <f>"耿帅兵"</f>
        <v>耿帅兵</v>
      </c>
      <c r="I44" s="7" t="s">
        <v>107</v>
      </c>
      <c r="J44" s="7" t="s">
        <v>19</v>
      </c>
      <c r="K44" s="7">
        <v>73.32</v>
      </c>
    </row>
    <row r="45" ht="27" spans="1:11">
      <c r="A45" s="7" t="s">
        <v>108</v>
      </c>
      <c r="B45" s="8" t="s">
        <v>109</v>
      </c>
      <c r="C45" s="7" t="s">
        <v>110</v>
      </c>
      <c r="D45" s="7" t="s">
        <v>29</v>
      </c>
      <c r="E45" s="7" t="s">
        <v>30</v>
      </c>
      <c r="F45" s="7" t="s">
        <v>31</v>
      </c>
      <c r="G45" s="8" t="str">
        <f>"2020103202"</f>
        <v>2020103202</v>
      </c>
      <c r="H45" s="8" t="str">
        <f>"马冰"</f>
        <v>马冰</v>
      </c>
      <c r="I45" s="7" t="s">
        <v>111</v>
      </c>
      <c r="J45" s="7" t="s">
        <v>24</v>
      </c>
      <c r="K45" s="7">
        <v>71.74</v>
      </c>
    </row>
    <row r="46" ht="27" spans="1:11">
      <c r="A46" s="7" t="s">
        <v>108</v>
      </c>
      <c r="B46" s="8" t="s">
        <v>112</v>
      </c>
      <c r="C46" s="7" t="s">
        <v>113</v>
      </c>
      <c r="D46" s="7" t="s">
        <v>29</v>
      </c>
      <c r="E46" s="7" t="s">
        <v>30</v>
      </c>
      <c r="F46" s="7" t="s">
        <v>31</v>
      </c>
      <c r="G46" s="8" t="str">
        <f>"2020103227"</f>
        <v>2020103227</v>
      </c>
      <c r="H46" s="8" t="str">
        <f>"孟安琪"</f>
        <v>孟安琪</v>
      </c>
      <c r="I46" s="7" t="s">
        <v>114</v>
      </c>
      <c r="J46" s="7" t="s">
        <v>24</v>
      </c>
      <c r="K46" s="7">
        <v>75.29</v>
      </c>
    </row>
    <row r="47" ht="27" spans="1:11">
      <c r="A47" s="7" t="s">
        <v>108</v>
      </c>
      <c r="B47" s="8" t="s">
        <v>115</v>
      </c>
      <c r="C47" s="7" t="s">
        <v>116</v>
      </c>
      <c r="D47" s="7" t="s">
        <v>29</v>
      </c>
      <c r="E47" s="7" t="s">
        <v>98</v>
      </c>
      <c r="F47" s="7" t="s">
        <v>31</v>
      </c>
      <c r="G47" s="8" t="str">
        <f>"2020103316"</f>
        <v>2020103316</v>
      </c>
      <c r="H47" s="8" t="str">
        <f>"况帅帅"</f>
        <v>况帅帅</v>
      </c>
      <c r="I47" s="7" t="s">
        <v>117</v>
      </c>
      <c r="J47" s="7" t="s">
        <v>19</v>
      </c>
      <c r="K47" s="7">
        <v>71.16</v>
      </c>
    </row>
    <row r="48" ht="67.5" spans="1:11">
      <c r="A48" s="7" t="s">
        <v>118</v>
      </c>
      <c r="B48" s="8" t="s">
        <v>119</v>
      </c>
      <c r="C48" s="7" t="s">
        <v>120</v>
      </c>
      <c r="D48" s="7" t="s">
        <v>15</v>
      </c>
      <c r="E48" s="7" t="s">
        <v>121</v>
      </c>
      <c r="F48" s="7" t="s">
        <v>122</v>
      </c>
      <c r="G48" s="8" t="str">
        <f>"2020103416"</f>
        <v>2020103416</v>
      </c>
      <c r="H48" s="8" t="str">
        <f>"董强"</f>
        <v>董强</v>
      </c>
      <c r="I48" s="7" t="s">
        <v>123</v>
      </c>
      <c r="J48" s="7" t="s">
        <v>19</v>
      </c>
      <c r="K48" s="7">
        <v>75.82</v>
      </c>
    </row>
    <row r="49" ht="67.5" spans="1:11">
      <c r="A49" s="7" t="s">
        <v>118</v>
      </c>
      <c r="B49" s="8" t="s">
        <v>119</v>
      </c>
      <c r="C49" s="7" t="s">
        <v>120</v>
      </c>
      <c r="D49" s="7" t="s">
        <v>15</v>
      </c>
      <c r="E49" s="7" t="s">
        <v>121</v>
      </c>
      <c r="F49" s="7" t="s">
        <v>122</v>
      </c>
      <c r="G49" s="8" t="str">
        <f>"2020103607"</f>
        <v>2020103607</v>
      </c>
      <c r="H49" s="8" t="str">
        <f>"蔡迎春"</f>
        <v>蔡迎春</v>
      </c>
      <c r="I49" s="7" t="s">
        <v>124</v>
      </c>
      <c r="J49" s="7" t="s">
        <v>19</v>
      </c>
      <c r="K49" s="7">
        <v>74.96</v>
      </c>
    </row>
    <row r="50" ht="67.5" spans="1:11">
      <c r="A50" s="7" t="s">
        <v>118</v>
      </c>
      <c r="B50" s="8" t="s">
        <v>119</v>
      </c>
      <c r="C50" s="7" t="s">
        <v>120</v>
      </c>
      <c r="D50" s="7" t="s">
        <v>15</v>
      </c>
      <c r="E50" s="7" t="s">
        <v>121</v>
      </c>
      <c r="F50" s="7" t="s">
        <v>122</v>
      </c>
      <c r="G50" s="8" t="str">
        <f>"2020103603"</f>
        <v>2020103603</v>
      </c>
      <c r="H50" s="8" t="str">
        <f>"高亚莉"</f>
        <v>高亚莉</v>
      </c>
      <c r="I50" s="7" t="s">
        <v>125</v>
      </c>
      <c r="J50" s="7" t="s">
        <v>19</v>
      </c>
      <c r="K50" s="7">
        <v>74.94</v>
      </c>
    </row>
    <row r="51" ht="121.5" spans="1:11">
      <c r="A51" s="7" t="s">
        <v>118</v>
      </c>
      <c r="B51" s="8" t="s">
        <v>126</v>
      </c>
      <c r="C51" s="7" t="s">
        <v>127</v>
      </c>
      <c r="D51" s="7" t="s">
        <v>15</v>
      </c>
      <c r="E51" s="7" t="s">
        <v>121</v>
      </c>
      <c r="F51" s="7" t="s">
        <v>128</v>
      </c>
      <c r="G51" s="8" t="str">
        <f>"2020103725"</f>
        <v>2020103725</v>
      </c>
      <c r="H51" s="8" t="str">
        <f>"黄立强"</f>
        <v>黄立强</v>
      </c>
      <c r="I51" s="7" t="s">
        <v>129</v>
      </c>
      <c r="J51" s="7" t="s">
        <v>19</v>
      </c>
      <c r="K51" s="7">
        <v>71.38</v>
      </c>
    </row>
    <row r="52" ht="121.5" spans="1:11">
      <c r="A52" s="7" t="s">
        <v>118</v>
      </c>
      <c r="B52" s="8" t="s">
        <v>126</v>
      </c>
      <c r="C52" s="7" t="s">
        <v>127</v>
      </c>
      <c r="D52" s="7" t="s">
        <v>15</v>
      </c>
      <c r="E52" s="7" t="s">
        <v>121</v>
      </c>
      <c r="F52" s="7" t="s">
        <v>128</v>
      </c>
      <c r="G52" s="8" t="str">
        <f>"2020103730"</f>
        <v>2020103730</v>
      </c>
      <c r="H52" s="8" t="str">
        <f>"吴今今"</f>
        <v>吴今今</v>
      </c>
      <c r="I52" s="7" t="s">
        <v>130</v>
      </c>
      <c r="J52" s="7" t="s">
        <v>19</v>
      </c>
      <c r="K52" s="7">
        <v>69.98</v>
      </c>
    </row>
    <row r="53" ht="27" spans="1:11">
      <c r="A53" s="7" t="s">
        <v>131</v>
      </c>
      <c r="B53" s="8" t="s">
        <v>132</v>
      </c>
      <c r="C53" s="7" t="s">
        <v>21</v>
      </c>
      <c r="D53" s="7" t="s">
        <v>39</v>
      </c>
      <c r="E53" s="7" t="s">
        <v>63</v>
      </c>
      <c r="F53" s="7" t="s">
        <v>31</v>
      </c>
      <c r="G53" s="8" t="str">
        <f>"2020103919"</f>
        <v>2020103919</v>
      </c>
      <c r="H53" s="8" t="str">
        <f>"孙玉茹"</f>
        <v>孙玉茹</v>
      </c>
      <c r="I53" s="7" t="s">
        <v>133</v>
      </c>
      <c r="J53" s="7" t="s">
        <v>41</v>
      </c>
      <c r="K53" s="8">
        <v>71.08</v>
      </c>
    </row>
    <row r="54" ht="40.5" spans="1:11">
      <c r="A54" s="7" t="s">
        <v>134</v>
      </c>
      <c r="B54" s="8" t="s">
        <v>135</v>
      </c>
      <c r="C54" s="7" t="s">
        <v>136</v>
      </c>
      <c r="D54" s="7" t="s">
        <v>39</v>
      </c>
      <c r="E54" s="7" t="s">
        <v>63</v>
      </c>
      <c r="F54" s="7" t="s">
        <v>31</v>
      </c>
      <c r="G54" s="8" t="str">
        <f>"2020104011"</f>
        <v>2020104011</v>
      </c>
      <c r="H54" s="8" t="str">
        <f>"管艳昆"</f>
        <v>管艳昆</v>
      </c>
      <c r="I54" s="7" t="s">
        <v>137</v>
      </c>
      <c r="J54" s="7" t="s">
        <v>41</v>
      </c>
      <c r="K54" s="7">
        <v>69.31</v>
      </c>
    </row>
    <row r="55" ht="27" spans="1:11">
      <c r="A55" s="7" t="s">
        <v>134</v>
      </c>
      <c r="B55" s="8" t="s">
        <v>138</v>
      </c>
      <c r="C55" s="7" t="s">
        <v>21</v>
      </c>
      <c r="D55" s="7" t="s">
        <v>39</v>
      </c>
      <c r="E55" s="7" t="s">
        <v>63</v>
      </c>
      <c r="F55" s="7" t="s">
        <v>31</v>
      </c>
      <c r="G55" s="8" t="str">
        <f>"2020104030"</f>
        <v>2020104030</v>
      </c>
      <c r="H55" s="8" t="str">
        <f>"纵婉玉"</f>
        <v>纵婉玉</v>
      </c>
      <c r="I55" s="7" t="s">
        <v>139</v>
      </c>
      <c r="J55" s="7" t="s">
        <v>19</v>
      </c>
      <c r="K55" s="7">
        <v>74.12</v>
      </c>
    </row>
    <row r="56" ht="40.5" spans="1:11">
      <c r="A56" s="7" t="s">
        <v>140</v>
      </c>
      <c r="B56" s="8" t="s">
        <v>141</v>
      </c>
      <c r="C56" s="7" t="s">
        <v>142</v>
      </c>
      <c r="D56" s="7" t="s">
        <v>29</v>
      </c>
      <c r="E56" s="7" t="s">
        <v>63</v>
      </c>
      <c r="F56" s="7" t="s">
        <v>31</v>
      </c>
      <c r="G56" s="8" t="str">
        <f>"2020104201"</f>
        <v>2020104201</v>
      </c>
      <c r="H56" s="8" t="str">
        <f>"马玉节"</f>
        <v>马玉节</v>
      </c>
      <c r="I56" s="7" t="s">
        <v>48</v>
      </c>
      <c r="J56" s="7" t="s">
        <v>19</v>
      </c>
      <c r="K56" s="7">
        <v>75.49</v>
      </c>
    </row>
    <row r="57" ht="40.5" spans="1:11">
      <c r="A57" s="7" t="s">
        <v>143</v>
      </c>
      <c r="B57" s="8" t="s">
        <v>144</v>
      </c>
      <c r="C57" s="7" t="s">
        <v>145</v>
      </c>
      <c r="D57" s="7" t="s">
        <v>15</v>
      </c>
      <c r="E57" s="7" t="s">
        <v>63</v>
      </c>
      <c r="F57" s="7" t="s">
        <v>31</v>
      </c>
      <c r="G57" s="8" t="str">
        <f>"2020104214"</f>
        <v>2020104214</v>
      </c>
      <c r="H57" s="8" t="str">
        <f>"王萍"</f>
        <v>王萍</v>
      </c>
      <c r="I57" s="7" t="s">
        <v>146</v>
      </c>
      <c r="J57" s="7" t="s">
        <v>19</v>
      </c>
      <c r="K57" s="7">
        <v>72.56</v>
      </c>
    </row>
    <row r="58" ht="40.5" spans="1:11">
      <c r="A58" s="7" t="s">
        <v>143</v>
      </c>
      <c r="B58" s="8" t="s">
        <v>144</v>
      </c>
      <c r="C58" s="7" t="s">
        <v>145</v>
      </c>
      <c r="D58" s="7" t="s">
        <v>15</v>
      </c>
      <c r="E58" s="7" t="s">
        <v>63</v>
      </c>
      <c r="F58" s="7" t="s">
        <v>31</v>
      </c>
      <c r="G58" s="8" t="str">
        <f>"2020104213"</f>
        <v>2020104213</v>
      </c>
      <c r="H58" s="8" t="str">
        <f>"白雅楠"</f>
        <v>白雅楠</v>
      </c>
      <c r="I58" s="7" t="s">
        <v>147</v>
      </c>
      <c r="J58" s="7" t="s">
        <v>19</v>
      </c>
      <c r="K58" s="7">
        <v>72.02</v>
      </c>
    </row>
    <row r="59" ht="67.5" spans="1:11">
      <c r="A59" s="7" t="s">
        <v>148</v>
      </c>
      <c r="B59" s="8" t="s">
        <v>149</v>
      </c>
      <c r="C59" s="7" t="s">
        <v>150</v>
      </c>
      <c r="D59" s="7" t="s">
        <v>29</v>
      </c>
      <c r="E59" s="7" t="s">
        <v>63</v>
      </c>
      <c r="F59" s="7" t="s">
        <v>31</v>
      </c>
      <c r="G59" s="8" t="str">
        <f>"2020104218"</f>
        <v>2020104218</v>
      </c>
      <c r="H59" s="8" t="str">
        <f>"杨柳"</f>
        <v>杨柳</v>
      </c>
      <c r="I59" s="7" t="s">
        <v>94</v>
      </c>
      <c r="J59" s="7" t="s">
        <v>19</v>
      </c>
      <c r="K59" s="8">
        <v>71.52</v>
      </c>
    </row>
    <row r="60" ht="67.5" spans="1:11">
      <c r="A60" s="7" t="s">
        <v>148</v>
      </c>
      <c r="B60" s="8" t="s">
        <v>151</v>
      </c>
      <c r="C60" s="7" t="s">
        <v>152</v>
      </c>
      <c r="D60" s="7" t="s">
        <v>29</v>
      </c>
      <c r="E60" s="7" t="s">
        <v>63</v>
      </c>
      <c r="F60" s="7" t="s">
        <v>31</v>
      </c>
      <c r="G60" s="8" t="str">
        <f>"2020104225"</f>
        <v>2020104225</v>
      </c>
      <c r="H60" s="8" t="str">
        <f>"朱子涵"</f>
        <v>朱子涵</v>
      </c>
      <c r="I60" s="7" t="s">
        <v>153</v>
      </c>
      <c r="J60" s="7" t="s">
        <v>19</v>
      </c>
      <c r="K60" s="7">
        <v>73.35</v>
      </c>
    </row>
    <row r="61" ht="54" spans="1:11">
      <c r="A61" s="7" t="s">
        <v>154</v>
      </c>
      <c r="B61" s="8" t="s">
        <v>155</v>
      </c>
      <c r="C61" s="7" t="s">
        <v>21</v>
      </c>
      <c r="D61" s="7" t="s">
        <v>29</v>
      </c>
      <c r="E61" s="7" t="s">
        <v>63</v>
      </c>
      <c r="F61" s="7" t="s">
        <v>156</v>
      </c>
      <c r="G61" s="8" t="str">
        <f>"2020104323"</f>
        <v>2020104323</v>
      </c>
      <c r="H61" s="8" t="str">
        <f>"郑红润"</f>
        <v>郑红润</v>
      </c>
      <c r="I61" s="7" t="s">
        <v>117</v>
      </c>
      <c r="J61" s="7" t="s">
        <v>19</v>
      </c>
      <c r="K61" s="7">
        <v>72.04</v>
      </c>
    </row>
    <row r="62" ht="81" spans="1:11">
      <c r="A62" s="7" t="s">
        <v>157</v>
      </c>
      <c r="B62" s="8" t="s">
        <v>158</v>
      </c>
      <c r="C62" s="7" t="s">
        <v>159</v>
      </c>
      <c r="D62" s="7" t="s">
        <v>29</v>
      </c>
      <c r="E62" s="7" t="s">
        <v>30</v>
      </c>
      <c r="F62" s="7" t="s">
        <v>31</v>
      </c>
      <c r="G62" s="8" t="str">
        <f>"2020104412"</f>
        <v>2020104412</v>
      </c>
      <c r="H62" s="8" t="str">
        <f>"李英"</f>
        <v>李英</v>
      </c>
      <c r="I62" s="7" t="s">
        <v>44</v>
      </c>
      <c r="J62" s="7" t="s">
        <v>19</v>
      </c>
      <c r="K62" s="7">
        <v>76.53</v>
      </c>
    </row>
    <row r="63" ht="81" spans="1:11">
      <c r="A63" s="7" t="s">
        <v>157</v>
      </c>
      <c r="B63" s="8" t="s">
        <v>158</v>
      </c>
      <c r="C63" s="7" t="s">
        <v>159</v>
      </c>
      <c r="D63" s="7" t="s">
        <v>29</v>
      </c>
      <c r="E63" s="7" t="s">
        <v>160</v>
      </c>
      <c r="F63" s="7" t="s">
        <v>31</v>
      </c>
      <c r="G63" s="8" t="str">
        <f>"2020104415"</f>
        <v>2020104415</v>
      </c>
      <c r="H63" s="8" t="str">
        <f>"毛雅文"</f>
        <v>毛雅文</v>
      </c>
      <c r="I63" s="7" t="s">
        <v>161</v>
      </c>
      <c r="J63" s="7" t="s">
        <v>19</v>
      </c>
      <c r="K63" s="7">
        <v>75.05</v>
      </c>
    </row>
    <row r="64" ht="81" spans="1:11">
      <c r="A64" s="7" t="s">
        <v>157</v>
      </c>
      <c r="B64" s="8" t="s">
        <v>158</v>
      </c>
      <c r="C64" s="7" t="s">
        <v>159</v>
      </c>
      <c r="D64" s="7" t="s">
        <v>29</v>
      </c>
      <c r="E64" s="7" t="s">
        <v>162</v>
      </c>
      <c r="F64" s="7" t="s">
        <v>31</v>
      </c>
      <c r="G64" s="8" t="str">
        <f>"2020104428"</f>
        <v>2020104428</v>
      </c>
      <c r="H64" s="8" t="str">
        <f>"汪金鑫"</f>
        <v>汪金鑫</v>
      </c>
      <c r="I64" s="7" t="s">
        <v>163</v>
      </c>
      <c r="J64" s="7" t="s">
        <v>19</v>
      </c>
      <c r="K64" s="7">
        <v>74.08</v>
      </c>
    </row>
    <row r="65" ht="81" spans="1:11">
      <c r="A65" s="7" t="s">
        <v>157</v>
      </c>
      <c r="B65" s="8" t="s">
        <v>158</v>
      </c>
      <c r="C65" s="7" t="s">
        <v>159</v>
      </c>
      <c r="D65" s="7" t="s">
        <v>29</v>
      </c>
      <c r="E65" s="7" t="s">
        <v>164</v>
      </c>
      <c r="F65" s="7" t="s">
        <v>31</v>
      </c>
      <c r="G65" s="8" t="str">
        <f>"2020104602"</f>
        <v>2020104602</v>
      </c>
      <c r="H65" s="8" t="str">
        <f>"张莉"</f>
        <v>张莉</v>
      </c>
      <c r="I65" s="7" t="s">
        <v>71</v>
      </c>
      <c r="J65" s="7" t="s">
        <v>19</v>
      </c>
      <c r="K65" s="7">
        <v>73.59</v>
      </c>
    </row>
    <row r="66" ht="81" spans="1:11">
      <c r="A66" s="7" t="s">
        <v>157</v>
      </c>
      <c r="B66" s="8" t="s">
        <v>158</v>
      </c>
      <c r="C66" s="7" t="s">
        <v>159</v>
      </c>
      <c r="D66" s="7" t="s">
        <v>29</v>
      </c>
      <c r="E66" s="7" t="s">
        <v>63</v>
      </c>
      <c r="F66" s="7" t="s">
        <v>31</v>
      </c>
      <c r="G66" s="8" t="str">
        <f>"2020104619"</f>
        <v>2020104619</v>
      </c>
      <c r="H66" s="8" t="str">
        <f>"陈宇"</f>
        <v>陈宇</v>
      </c>
      <c r="I66" s="7" t="s">
        <v>165</v>
      </c>
      <c r="J66" s="7" t="s">
        <v>19</v>
      </c>
      <c r="K66" s="8">
        <v>73.24</v>
      </c>
    </row>
    <row r="67" ht="81" spans="1:11">
      <c r="A67" s="7" t="s">
        <v>166</v>
      </c>
      <c r="B67" s="8" t="s">
        <v>167</v>
      </c>
      <c r="C67" s="7" t="s">
        <v>159</v>
      </c>
      <c r="D67" s="7" t="s">
        <v>29</v>
      </c>
      <c r="E67" s="7" t="s">
        <v>30</v>
      </c>
      <c r="F67" s="7" t="s">
        <v>31</v>
      </c>
      <c r="G67" s="8" t="str">
        <f>"2020104720"</f>
        <v>2020104720</v>
      </c>
      <c r="H67" s="8" t="str">
        <f>"欧阳苗"</f>
        <v>欧阳苗</v>
      </c>
      <c r="I67" s="7" t="s">
        <v>168</v>
      </c>
      <c r="J67" s="7" t="s">
        <v>19</v>
      </c>
      <c r="K67" s="7">
        <v>76.62</v>
      </c>
    </row>
    <row r="68" ht="27" spans="1:11">
      <c r="A68" s="7" t="s">
        <v>169</v>
      </c>
      <c r="B68" s="8" t="s">
        <v>170</v>
      </c>
      <c r="C68" s="7" t="s">
        <v>171</v>
      </c>
      <c r="D68" s="7" t="s">
        <v>39</v>
      </c>
      <c r="E68" s="7" t="s">
        <v>63</v>
      </c>
      <c r="F68" s="7" t="s">
        <v>31</v>
      </c>
      <c r="G68" s="8" t="str">
        <f>"2020104806"</f>
        <v>2020104806</v>
      </c>
      <c r="H68" s="8" t="str">
        <f>"邵君昊"</f>
        <v>邵君昊</v>
      </c>
      <c r="I68" s="7" t="s">
        <v>172</v>
      </c>
      <c r="J68" s="7" t="s">
        <v>41</v>
      </c>
      <c r="K68" s="7">
        <v>70.79</v>
      </c>
    </row>
    <row r="69" ht="27" spans="1:11">
      <c r="A69" s="7" t="s">
        <v>169</v>
      </c>
      <c r="B69" s="8" t="s">
        <v>170</v>
      </c>
      <c r="C69" s="7" t="s">
        <v>171</v>
      </c>
      <c r="D69" s="7" t="s">
        <v>39</v>
      </c>
      <c r="E69" s="7" t="s">
        <v>63</v>
      </c>
      <c r="F69" s="7" t="s">
        <v>31</v>
      </c>
      <c r="G69" s="8" t="str">
        <f>"2020104809"</f>
        <v>2020104809</v>
      </c>
      <c r="H69" s="8" t="str">
        <f>"王雅淑"</f>
        <v>王雅淑</v>
      </c>
      <c r="I69" s="7" t="s">
        <v>173</v>
      </c>
      <c r="J69" s="7" t="s">
        <v>41</v>
      </c>
      <c r="K69" s="7">
        <v>69.08</v>
      </c>
    </row>
    <row r="70" ht="27" spans="1:11">
      <c r="A70" s="7" t="s">
        <v>169</v>
      </c>
      <c r="B70" s="8" t="s">
        <v>174</v>
      </c>
      <c r="C70" s="7" t="s">
        <v>175</v>
      </c>
      <c r="D70" s="7" t="s">
        <v>29</v>
      </c>
      <c r="E70" s="7" t="s">
        <v>63</v>
      </c>
      <c r="F70" s="7" t="s">
        <v>31</v>
      </c>
      <c r="G70" s="8" t="str">
        <f>"2020104816"</f>
        <v>2020104816</v>
      </c>
      <c r="H70" s="8" t="str">
        <f>"刘娜"</f>
        <v>刘娜</v>
      </c>
      <c r="I70" s="7" t="s">
        <v>176</v>
      </c>
      <c r="J70" s="7" t="s">
        <v>19</v>
      </c>
      <c r="K70" s="7">
        <v>70.29</v>
      </c>
    </row>
    <row r="71" ht="27" spans="1:11">
      <c r="A71" s="7" t="s">
        <v>169</v>
      </c>
      <c r="B71" s="8" t="s">
        <v>174</v>
      </c>
      <c r="C71" s="7" t="s">
        <v>175</v>
      </c>
      <c r="D71" s="7" t="s">
        <v>29</v>
      </c>
      <c r="E71" s="7" t="s">
        <v>63</v>
      </c>
      <c r="F71" s="7" t="s">
        <v>31</v>
      </c>
      <c r="G71" s="8" t="str">
        <f>"2020104812"</f>
        <v>2020104812</v>
      </c>
      <c r="H71" s="8" t="str">
        <f>"朱子轩"</f>
        <v>朱子轩</v>
      </c>
      <c r="I71" s="7" t="s">
        <v>177</v>
      </c>
      <c r="J71" s="7" t="s">
        <v>19</v>
      </c>
      <c r="K71" s="7">
        <v>69.78</v>
      </c>
    </row>
    <row r="72" ht="40.5" spans="1:11">
      <c r="A72" s="7" t="s">
        <v>169</v>
      </c>
      <c r="B72" s="8" t="s">
        <v>178</v>
      </c>
      <c r="C72" s="7" t="s">
        <v>179</v>
      </c>
      <c r="D72" s="7" t="s">
        <v>39</v>
      </c>
      <c r="E72" s="7" t="s">
        <v>63</v>
      </c>
      <c r="F72" s="7" t="s">
        <v>31</v>
      </c>
      <c r="G72" s="8" t="str">
        <f>"2020104903"</f>
        <v>2020104903</v>
      </c>
      <c r="H72" s="8" t="str">
        <f>"胡铭"</f>
        <v>胡铭</v>
      </c>
      <c r="I72" s="7" t="s">
        <v>177</v>
      </c>
      <c r="J72" s="7" t="s">
        <v>19</v>
      </c>
      <c r="K72" s="7">
        <v>71.21</v>
      </c>
    </row>
    <row r="73" ht="40.5" spans="1:11">
      <c r="A73" s="7" t="s">
        <v>169</v>
      </c>
      <c r="B73" s="8" t="s">
        <v>178</v>
      </c>
      <c r="C73" s="7" t="s">
        <v>179</v>
      </c>
      <c r="D73" s="7" t="s">
        <v>39</v>
      </c>
      <c r="E73" s="7" t="s">
        <v>180</v>
      </c>
      <c r="F73" s="7" t="s">
        <v>31</v>
      </c>
      <c r="G73" s="8" t="str">
        <f>"2020104826"</f>
        <v>2020104826</v>
      </c>
      <c r="H73" s="8" t="str">
        <f>"张超"</f>
        <v>张超</v>
      </c>
      <c r="I73" s="7" t="s">
        <v>181</v>
      </c>
      <c r="J73" s="7" t="s">
        <v>41</v>
      </c>
      <c r="K73" s="11">
        <v>70.8</v>
      </c>
    </row>
    <row r="74" ht="27" spans="1:11">
      <c r="A74" s="7" t="s">
        <v>182</v>
      </c>
      <c r="B74" s="8" t="s">
        <v>183</v>
      </c>
      <c r="C74" s="7" t="s">
        <v>171</v>
      </c>
      <c r="D74" s="7" t="s">
        <v>39</v>
      </c>
      <c r="E74" s="7" t="s">
        <v>63</v>
      </c>
      <c r="F74" s="7" t="s">
        <v>31</v>
      </c>
      <c r="G74" s="8" t="str">
        <f>"2020104922"</f>
        <v>2020104922</v>
      </c>
      <c r="H74" s="8" t="str">
        <f>"徐亚彪"</f>
        <v>徐亚彪</v>
      </c>
      <c r="I74" s="7" t="s">
        <v>184</v>
      </c>
      <c r="J74" s="7" t="s">
        <v>41</v>
      </c>
      <c r="K74" s="7">
        <v>71.63</v>
      </c>
    </row>
    <row r="75" ht="27" spans="1:11">
      <c r="A75" s="7" t="s">
        <v>182</v>
      </c>
      <c r="B75" s="8" t="s">
        <v>183</v>
      </c>
      <c r="C75" s="7" t="s">
        <v>171</v>
      </c>
      <c r="D75" s="7" t="s">
        <v>39</v>
      </c>
      <c r="E75" s="7" t="s">
        <v>63</v>
      </c>
      <c r="F75" s="7" t="s">
        <v>31</v>
      </c>
      <c r="G75" s="8" t="str">
        <f>"2020104915"</f>
        <v>2020104915</v>
      </c>
      <c r="H75" s="8" t="str">
        <f>"史秋诗"</f>
        <v>史秋诗</v>
      </c>
      <c r="I75" s="7" t="s">
        <v>185</v>
      </c>
      <c r="J75" s="7" t="s">
        <v>41</v>
      </c>
      <c r="K75" s="7">
        <v>71.61</v>
      </c>
    </row>
    <row r="76" ht="27" spans="1:11">
      <c r="A76" s="7" t="s">
        <v>182</v>
      </c>
      <c r="B76" s="8" t="s">
        <v>183</v>
      </c>
      <c r="C76" s="7" t="s">
        <v>171</v>
      </c>
      <c r="D76" s="7" t="s">
        <v>39</v>
      </c>
      <c r="E76" s="7" t="s">
        <v>63</v>
      </c>
      <c r="F76" s="7" t="s">
        <v>31</v>
      </c>
      <c r="G76" s="8" t="str">
        <f>"2020104918"</f>
        <v>2020104918</v>
      </c>
      <c r="H76" s="8" t="str">
        <f>"梁宇菲"</f>
        <v>梁宇菲</v>
      </c>
      <c r="I76" s="7" t="s">
        <v>186</v>
      </c>
      <c r="J76" s="7" t="s">
        <v>41</v>
      </c>
      <c r="K76" s="7">
        <v>71.08</v>
      </c>
    </row>
    <row r="77" ht="27" spans="1:11">
      <c r="A77" s="7" t="s">
        <v>182</v>
      </c>
      <c r="B77" s="8" t="s">
        <v>183</v>
      </c>
      <c r="C77" s="7" t="s">
        <v>171</v>
      </c>
      <c r="D77" s="7" t="s">
        <v>39</v>
      </c>
      <c r="E77" s="7" t="s">
        <v>63</v>
      </c>
      <c r="F77" s="7" t="s">
        <v>31</v>
      </c>
      <c r="G77" s="8" t="str">
        <f>"2020104916"</f>
        <v>2020104916</v>
      </c>
      <c r="H77" s="8" t="str">
        <f>"葛振虎"</f>
        <v>葛振虎</v>
      </c>
      <c r="I77" s="7" t="s">
        <v>187</v>
      </c>
      <c r="J77" s="7" t="s">
        <v>41</v>
      </c>
      <c r="K77" s="7">
        <v>71.05</v>
      </c>
    </row>
    <row r="78" ht="27" spans="1:11">
      <c r="A78" s="7" t="s">
        <v>182</v>
      </c>
      <c r="B78" s="8" t="s">
        <v>183</v>
      </c>
      <c r="C78" s="7" t="s">
        <v>171</v>
      </c>
      <c r="D78" s="7" t="s">
        <v>39</v>
      </c>
      <c r="E78" s="7" t="s">
        <v>63</v>
      </c>
      <c r="F78" s="7" t="s">
        <v>31</v>
      </c>
      <c r="G78" s="8" t="str">
        <f>"2020104924"</f>
        <v>2020104924</v>
      </c>
      <c r="H78" s="8" t="str">
        <f>"汝笑笑"</f>
        <v>汝笑笑</v>
      </c>
      <c r="I78" s="7" t="s">
        <v>173</v>
      </c>
      <c r="J78" s="7" t="s">
        <v>41</v>
      </c>
      <c r="K78" s="7">
        <v>70.11</v>
      </c>
    </row>
    <row r="79" ht="27" spans="1:11">
      <c r="A79" s="7" t="s">
        <v>182</v>
      </c>
      <c r="B79" s="8" t="s">
        <v>183</v>
      </c>
      <c r="C79" s="7" t="s">
        <v>171</v>
      </c>
      <c r="D79" s="7" t="s">
        <v>39</v>
      </c>
      <c r="E79" s="7" t="s">
        <v>63</v>
      </c>
      <c r="F79" s="7" t="s">
        <v>31</v>
      </c>
      <c r="G79" s="8" t="str">
        <f>"2020104917"</f>
        <v>2020104917</v>
      </c>
      <c r="H79" s="8" t="str">
        <f>"周维洋"</f>
        <v>周维洋</v>
      </c>
      <c r="I79" s="7" t="s">
        <v>188</v>
      </c>
      <c r="J79" s="7" t="s">
        <v>41</v>
      </c>
      <c r="K79" s="7">
        <v>69.37</v>
      </c>
    </row>
    <row r="80" ht="40.5" spans="1:11">
      <c r="A80" s="7" t="s">
        <v>182</v>
      </c>
      <c r="B80" s="8" t="s">
        <v>189</v>
      </c>
      <c r="C80" s="7" t="s">
        <v>179</v>
      </c>
      <c r="D80" s="7" t="s">
        <v>39</v>
      </c>
      <c r="E80" s="7" t="s">
        <v>63</v>
      </c>
      <c r="F80" s="7" t="s">
        <v>190</v>
      </c>
      <c r="G80" s="8" t="str">
        <f>"2020105004"</f>
        <v>2020105004</v>
      </c>
      <c r="H80" s="8" t="str">
        <f>"徐红达"</f>
        <v>徐红达</v>
      </c>
      <c r="I80" s="7" t="s">
        <v>191</v>
      </c>
      <c r="J80" s="7" t="s">
        <v>41</v>
      </c>
      <c r="K80" s="7">
        <v>69.21</v>
      </c>
    </row>
    <row r="81" ht="40.5" spans="1:11">
      <c r="A81" s="7" t="s">
        <v>182</v>
      </c>
      <c r="B81" s="8" t="s">
        <v>189</v>
      </c>
      <c r="C81" s="7" t="s">
        <v>179</v>
      </c>
      <c r="D81" s="7" t="s">
        <v>39</v>
      </c>
      <c r="E81" s="7" t="s">
        <v>63</v>
      </c>
      <c r="F81" s="7" t="s">
        <v>190</v>
      </c>
      <c r="G81" s="8" t="str">
        <f>"2020105006"</f>
        <v>2020105006</v>
      </c>
      <c r="H81" s="8" t="str">
        <f>"侯天涯"</f>
        <v>侯天涯</v>
      </c>
      <c r="I81" s="7" t="s">
        <v>192</v>
      </c>
      <c r="J81" s="7" t="s">
        <v>41</v>
      </c>
      <c r="K81" s="7">
        <v>68.71</v>
      </c>
    </row>
    <row r="82" ht="40.5" spans="1:11">
      <c r="A82" s="7" t="s">
        <v>182</v>
      </c>
      <c r="B82" s="8" t="s">
        <v>193</v>
      </c>
      <c r="C82" s="7" t="s">
        <v>179</v>
      </c>
      <c r="D82" s="7" t="s">
        <v>39</v>
      </c>
      <c r="E82" s="7" t="s">
        <v>63</v>
      </c>
      <c r="F82" s="7" t="s">
        <v>190</v>
      </c>
      <c r="G82" s="8" t="str">
        <f>"2020105007"</f>
        <v>2020105007</v>
      </c>
      <c r="H82" s="8" t="str">
        <f>"郑子文"</f>
        <v>郑子文</v>
      </c>
      <c r="I82" s="7" t="s">
        <v>194</v>
      </c>
      <c r="J82" s="7" t="s">
        <v>41</v>
      </c>
      <c r="K82" s="7">
        <v>70.4</v>
      </c>
    </row>
    <row r="83" ht="40.5" spans="1:11">
      <c r="A83" s="7" t="s">
        <v>182</v>
      </c>
      <c r="B83" s="8" t="s">
        <v>193</v>
      </c>
      <c r="C83" s="7" t="s">
        <v>179</v>
      </c>
      <c r="D83" s="7" t="s">
        <v>39</v>
      </c>
      <c r="E83" s="7" t="s">
        <v>63</v>
      </c>
      <c r="F83" s="7" t="s">
        <v>190</v>
      </c>
      <c r="G83" s="8" t="str">
        <f>"2020105010"</f>
        <v>2020105010</v>
      </c>
      <c r="H83" s="8" t="str">
        <f>"朱伟涛"</f>
        <v>朱伟涛</v>
      </c>
      <c r="I83" s="7" t="s">
        <v>195</v>
      </c>
      <c r="J83" s="7" t="s">
        <v>41</v>
      </c>
      <c r="K83" s="8">
        <v>65.66</v>
      </c>
    </row>
    <row r="84" ht="27" spans="1:11">
      <c r="A84" s="7" t="s">
        <v>182</v>
      </c>
      <c r="B84" s="8" t="s">
        <v>196</v>
      </c>
      <c r="C84" s="7" t="s">
        <v>197</v>
      </c>
      <c r="D84" s="7" t="s">
        <v>39</v>
      </c>
      <c r="E84" s="7" t="s">
        <v>63</v>
      </c>
      <c r="F84" s="7" t="s">
        <v>190</v>
      </c>
      <c r="G84" s="8" t="str">
        <f>"2020105127"</f>
        <v>2020105127</v>
      </c>
      <c r="H84" s="8" t="str">
        <f>"孙紫瑾"</f>
        <v>孙紫瑾</v>
      </c>
      <c r="I84" s="7" t="s">
        <v>153</v>
      </c>
      <c r="J84" s="7" t="s">
        <v>19</v>
      </c>
      <c r="K84" s="7">
        <v>74.25</v>
      </c>
    </row>
    <row r="85" ht="27" spans="1:11">
      <c r="A85" s="7" t="s">
        <v>182</v>
      </c>
      <c r="B85" s="8" t="s">
        <v>196</v>
      </c>
      <c r="C85" s="7" t="s">
        <v>197</v>
      </c>
      <c r="D85" s="7" t="s">
        <v>39</v>
      </c>
      <c r="E85" s="7" t="s">
        <v>63</v>
      </c>
      <c r="F85" s="7" t="s">
        <v>190</v>
      </c>
      <c r="G85" s="8" t="str">
        <f>"2020105028"</f>
        <v>2020105028</v>
      </c>
      <c r="H85" s="8" t="str">
        <f>"孟飞"</f>
        <v>孟飞</v>
      </c>
      <c r="I85" s="7" t="s">
        <v>198</v>
      </c>
      <c r="J85" s="7" t="s">
        <v>41</v>
      </c>
      <c r="K85" s="7">
        <v>73.77</v>
      </c>
    </row>
    <row r="86" ht="27" spans="1:11">
      <c r="A86" s="7" t="s">
        <v>182</v>
      </c>
      <c r="B86" s="8" t="s">
        <v>196</v>
      </c>
      <c r="C86" s="7" t="s">
        <v>197</v>
      </c>
      <c r="D86" s="7" t="s">
        <v>39</v>
      </c>
      <c r="E86" s="7" t="s">
        <v>63</v>
      </c>
      <c r="F86" s="7" t="s">
        <v>190</v>
      </c>
      <c r="G86" s="8" t="str">
        <f>"2020105228"</f>
        <v>2020105228</v>
      </c>
      <c r="H86" s="8" t="str">
        <f>"刘亚东"</f>
        <v>刘亚东</v>
      </c>
      <c r="I86" s="7" t="s">
        <v>199</v>
      </c>
      <c r="J86" s="7" t="s">
        <v>19</v>
      </c>
      <c r="K86" s="7">
        <v>72.82</v>
      </c>
    </row>
    <row r="87" ht="27" spans="1:11">
      <c r="A87" s="7" t="s">
        <v>182</v>
      </c>
      <c r="B87" s="8" t="s">
        <v>196</v>
      </c>
      <c r="C87" s="7" t="s">
        <v>197</v>
      </c>
      <c r="D87" s="7" t="s">
        <v>39</v>
      </c>
      <c r="E87" s="7" t="s">
        <v>63</v>
      </c>
      <c r="F87" s="7" t="s">
        <v>190</v>
      </c>
      <c r="G87" s="8" t="str">
        <f>"2020105308"</f>
        <v>2020105308</v>
      </c>
      <c r="H87" s="8" t="str">
        <f>"杨月月"</f>
        <v>杨月月</v>
      </c>
      <c r="I87" s="7" t="s">
        <v>199</v>
      </c>
      <c r="J87" s="7" t="s">
        <v>19</v>
      </c>
      <c r="K87" s="7">
        <v>72.48</v>
      </c>
    </row>
    <row r="88" ht="40.5" spans="1:11">
      <c r="A88" s="7" t="s">
        <v>182</v>
      </c>
      <c r="B88" s="8" t="s">
        <v>200</v>
      </c>
      <c r="C88" s="7" t="s">
        <v>201</v>
      </c>
      <c r="D88" s="7" t="s">
        <v>39</v>
      </c>
      <c r="E88" s="7" t="s">
        <v>63</v>
      </c>
      <c r="F88" s="7" t="s">
        <v>202</v>
      </c>
      <c r="G88" s="8" t="str">
        <f>"2020105415"</f>
        <v>2020105415</v>
      </c>
      <c r="H88" s="8" t="str">
        <f>"储彩霞"</f>
        <v>储彩霞</v>
      </c>
      <c r="I88" s="7" t="s">
        <v>203</v>
      </c>
      <c r="J88" s="7" t="s">
        <v>19</v>
      </c>
      <c r="K88" s="7">
        <v>75.06</v>
      </c>
    </row>
    <row r="89" ht="40.5" spans="1:11">
      <c r="A89" s="7" t="s">
        <v>182</v>
      </c>
      <c r="B89" s="8" t="s">
        <v>200</v>
      </c>
      <c r="C89" s="7" t="s">
        <v>201</v>
      </c>
      <c r="D89" s="7" t="s">
        <v>39</v>
      </c>
      <c r="E89" s="7" t="s">
        <v>63</v>
      </c>
      <c r="F89" s="7" t="s">
        <v>202</v>
      </c>
      <c r="G89" s="8" t="str">
        <f>"2020105417"</f>
        <v>2020105417</v>
      </c>
      <c r="H89" s="8" t="str">
        <f>"梁毓瑾"</f>
        <v>梁毓瑾</v>
      </c>
      <c r="I89" s="7" t="s">
        <v>199</v>
      </c>
      <c r="J89" s="7" t="s">
        <v>19</v>
      </c>
      <c r="K89" s="7">
        <v>74.05</v>
      </c>
    </row>
    <row r="90" ht="40.5" spans="1:11">
      <c r="A90" s="7" t="s">
        <v>182</v>
      </c>
      <c r="B90" s="8" t="s">
        <v>200</v>
      </c>
      <c r="C90" s="7" t="s">
        <v>201</v>
      </c>
      <c r="D90" s="7" t="s">
        <v>39</v>
      </c>
      <c r="E90" s="7" t="s">
        <v>63</v>
      </c>
      <c r="F90" s="7" t="s">
        <v>202</v>
      </c>
      <c r="G90" s="8" t="str">
        <f>"2020105320"</f>
        <v>2020105320</v>
      </c>
      <c r="H90" s="8" t="str">
        <f>"王粘龙"</f>
        <v>王粘龙</v>
      </c>
      <c r="I90" s="7" t="s">
        <v>204</v>
      </c>
      <c r="J90" s="7" t="s">
        <v>19</v>
      </c>
      <c r="K90" s="7">
        <v>73.68</v>
      </c>
    </row>
    <row r="91" ht="40.5" spans="1:11">
      <c r="A91" s="7" t="s">
        <v>182</v>
      </c>
      <c r="B91" s="8" t="s">
        <v>200</v>
      </c>
      <c r="C91" s="7" t="s">
        <v>201</v>
      </c>
      <c r="D91" s="7" t="s">
        <v>39</v>
      </c>
      <c r="E91" s="7" t="s">
        <v>63</v>
      </c>
      <c r="F91" s="7" t="s">
        <v>202</v>
      </c>
      <c r="G91" s="8" t="str">
        <f>"2020105322"</f>
        <v>2020105322</v>
      </c>
      <c r="H91" s="8" t="str">
        <f>"石磊"</f>
        <v>石磊</v>
      </c>
      <c r="I91" s="7" t="s">
        <v>199</v>
      </c>
      <c r="J91" s="7" t="s">
        <v>19</v>
      </c>
      <c r="K91" s="7">
        <v>73.18</v>
      </c>
    </row>
    <row r="92" ht="40.5" spans="1:11">
      <c r="A92" s="7" t="s">
        <v>182</v>
      </c>
      <c r="B92" s="8" t="s">
        <v>200</v>
      </c>
      <c r="C92" s="7" t="s">
        <v>201</v>
      </c>
      <c r="D92" s="7" t="s">
        <v>39</v>
      </c>
      <c r="E92" s="7" t="s">
        <v>63</v>
      </c>
      <c r="F92" s="7" t="s">
        <v>202</v>
      </c>
      <c r="G92" s="8" t="str">
        <f>"2020105404"</f>
        <v>2020105404</v>
      </c>
      <c r="H92" s="8" t="str">
        <f>"于祥马"</f>
        <v>于祥马</v>
      </c>
      <c r="I92" s="7" t="s">
        <v>203</v>
      </c>
      <c r="J92" s="7" t="s">
        <v>19</v>
      </c>
      <c r="K92" s="7">
        <v>72.91</v>
      </c>
    </row>
    <row r="93" ht="40.5" spans="1:11">
      <c r="A93" s="7" t="s">
        <v>182</v>
      </c>
      <c r="B93" s="8" t="s">
        <v>200</v>
      </c>
      <c r="C93" s="7" t="s">
        <v>201</v>
      </c>
      <c r="D93" s="7" t="s">
        <v>39</v>
      </c>
      <c r="E93" s="7" t="s">
        <v>63</v>
      </c>
      <c r="F93" s="7" t="s">
        <v>202</v>
      </c>
      <c r="G93" s="8" t="str">
        <f>"2020105413"</f>
        <v>2020105413</v>
      </c>
      <c r="H93" s="8" t="str">
        <f>"梁煜"</f>
        <v>梁煜</v>
      </c>
      <c r="I93" s="7" t="s">
        <v>205</v>
      </c>
      <c r="J93" s="7" t="s">
        <v>19</v>
      </c>
      <c r="K93" s="9">
        <v>72.76</v>
      </c>
    </row>
    <row r="94" ht="40.5" spans="1:11">
      <c r="A94" s="7" t="s">
        <v>182</v>
      </c>
      <c r="B94" s="8" t="s">
        <v>200</v>
      </c>
      <c r="C94" s="7" t="s">
        <v>201</v>
      </c>
      <c r="D94" s="7" t="s">
        <v>39</v>
      </c>
      <c r="E94" s="7" t="s">
        <v>63</v>
      </c>
      <c r="F94" s="7" t="s">
        <v>202</v>
      </c>
      <c r="G94" s="8" t="str">
        <f>"2020105412"</f>
        <v>2020105412</v>
      </c>
      <c r="H94" s="8" t="str">
        <f>"王祥鹏"</f>
        <v>王祥鹏</v>
      </c>
      <c r="I94" s="7" t="s">
        <v>206</v>
      </c>
      <c r="J94" s="7" t="s">
        <v>41</v>
      </c>
      <c r="K94" s="7">
        <v>72.43</v>
      </c>
    </row>
    <row r="95" ht="67.5" spans="1:11">
      <c r="A95" s="7" t="s">
        <v>207</v>
      </c>
      <c r="B95" s="8" t="s">
        <v>208</v>
      </c>
      <c r="C95" s="7" t="s">
        <v>209</v>
      </c>
      <c r="D95" s="7" t="s">
        <v>29</v>
      </c>
      <c r="E95" s="7" t="s">
        <v>210</v>
      </c>
      <c r="F95" s="7" t="s">
        <v>211</v>
      </c>
      <c r="G95" s="8" t="str">
        <f>"2020105430"</f>
        <v>2020105430</v>
      </c>
      <c r="H95" s="8" t="str">
        <f>"沙丽平"</f>
        <v>沙丽平</v>
      </c>
      <c r="I95" s="7" t="s">
        <v>58</v>
      </c>
      <c r="J95" s="7" t="s">
        <v>19</v>
      </c>
      <c r="K95" s="7">
        <v>75.66</v>
      </c>
    </row>
    <row r="96" ht="67.5" spans="1:11">
      <c r="A96" s="7" t="s">
        <v>207</v>
      </c>
      <c r="B96" s="8" t="s">
        <v>208</v>
      </c>
      <c r="C96" s="7" t="s">
        <v>209</v>
      </c>
      <c r="D96" s="7" t="s">
        <v>29</v>
      </c>
      <c r="E96" s="7" t="s">
        <v>210</v>
      </c>
      <c r="F96" s="7" t="s">
        <v>211</v>
      </c>
      <c r="G96" s="8" t="str">
        <f>"2020105507"</f>
        <v>2020105507</v>
      </c>
      <c r="H96" s="8" t="str">
        <f>"胡章敏"</f>
        <v>胡章敏</v>
      </c>
      <c r="I96" s="7" t="s">
        <v>71</v>
      </c>
      <c r="J96" s="7" t="s">
        <v>19</v>
      </c>
      <c r="K96" s="8">
        <v>73.74</v>
      </c>
    </row>
    <row r="97" ht="67.5" spans="1:11">
      <c r="A97" s="7" t="s">
        <v>207</v>
      </c>
      <c r="B97" s="8" t="s">
        <v>212</v>
      </c>
      <c r="C97" s="7" t="s">
        <v>213</v>
      </c>
      <c r="D97" s="7" t="s">
        <v>29</v>
      </c>
      <c r="E97" s="7" t="s">
        <v>214</v>
      </c>
      <c r="F97" s="7" t="s">
        <v>31</v>
      </c>
      <c r="G97" s="8" t="str">
        <f>"2020105518"</f>
        <v>2020105518</v>
      </c>
      <c r="H97" s="8" t="str">
        <f>"辛琪"</f>
        <v>辛琪</v>
      </c>
      <c r="I97" s="7" t="s">
        <v>117</v>
      </c>
      <c r="J97" s="7" t="s">
        <v>19</v>
      </c>
      <c r="K97" s="7">
        <v>73.96</v>
      </c>
    </row>
    <row r="98" ht="67.5" spans="1:11">
      <c r="A98" s="7" t="s">
        <v>207</v>
      </c>
      <c r="B98" s="8" t="s">
        <v>215</v>
      </c>
      <c r="C98" s="7" t="s">
        <v>216</v>
      </c>
      <c r="D98" s="7" t="s">
        <v>29</v>
      </c>
      <c r="E98" s="7" t="s">
        <v>210</v>
      </c>
      <c r="F98" s="7" t="s">
        <v>211</v>
      </c>
      <c r="G98" s="8" t="str">
        <f>"2020105529"</f>
        <v>2020105529</v>
      </c>
      <c r="H98" s="8" t="str">
        <f>"张丽萍"</f>
        <v>张丽萍</v>
      </c>
      <c r="I98" s="7" t="s">
        <v>75</v>
      </c>
      <c r="J98" s="7" t="s">
        <v>19</v>
      </c>
      <c r="K98" s="7">
        <v>74.62</v>
      </c>
    </row>
    <row r="99" ht="67.5" spans="1:11">
      <c r="A99" s="7" t="s">
        <v>207</v>
      </c>
      <c r="B99" s="8" t="s">
        <v>217</v>
      </c>
      <c r="C99" s="7" t="s">
        <v>218</v>
      </c>
      <c r="D99" s="7" t="s">
        <v>29</v>
      </c>
      <c r="E99" s="7" t="s">
        <v>210</v>
      </c>
      <c r="F99" s="7" t="s">
        <v>211</v>
      </c>
      <c r="G99" s="8" t="str">
        <f>"2020105604"</f>
        <v>2020105604</v>
      </c>
      <c r="H99" s="8" t="str">
        <f>"袁雪杰"</f>
        <v>袁雪杰</v>
      </c>
      <c r="I99" s="7" t="s">
        <v>219</v>
      </c>
      <c r="J99" s="7" t="s">
        <v>19</v>
      </c>
      <c r="K99" s="7">
        <v>75.24</v>
      </c>
    </row>
    <row r="100" ht="85.5" spans="1:11">
      <c r="A100" s="7" t="s">
        <v>220</v>
      </c>
      <c r="B100" s="8" t="s">
        <v>221</v>
      </c>
      <c r="C100" s="7" t="s">
        <v>222</v>
      </c>
      <c r="D100" s="7" t="s">
        <v>223</v>
      </c>
      <c r="E100" s="7" t="s">
        <v>30</v>
      </c>
      <c r="F100" s="7" t="s">
        <v>31</v>
      </c>
      <c r="G100" s="8" t="str">
        <f>"2020105610"</f>
        <v>2020105610</v>
      </c>
      <c r="H100" s="8" t="str">
        <f>"葛鑫雨"</f>
        <v>葛鑫雨</v>
      </c>
      <c r="I100" s="7" t="s">
        <v>75</v>
      </c>
      <c r="J100" s="7" t="s">
        <v>19</v>
      </c>
      <c r="K100" s="7">
        <v>74.64</v>
      </c>
    </row>
    <row r="101" ht="40.5" spans="1:11">
      <c r="A101" s="7" t="s">
        <v>224</v>
      </c>
      <c r="B101" s="8" t="s">
        <v>225</v>
      </c>
      <c r="C101" s="7" t="s">
        <v>226</v>
      </c>
      <c r="D101" s="7" t="s">
        <v>223</v>
      </c>
      <c r="E101" s="7" t="s">
        <v>30</v>
      </c>
      <c r="F101" s="7" t="s">
        <v>31</v>
      </c>
      <c r="G101" s="8" t="str">
        <f>"2020105624"</f>
        <v>2020105624</v>
      </c>
      <c r="H101" s="8" t="str">
        <f>"宋世杰"</f>
        <v>宋世杰</v>
      </c>
      <c r="I101" s="7" t="s">
        <v>18</v>
      </c>
      <c r="J101" s="7" t="s">
        <v>19</v>
      </c>
      <c r="K101" s="7">
        <v>78.4</v>
      </c>
    </row>
    <row r="102" ht="40.5" spans="1:11">
      <c r="A102" s="7" t="s">
        <v>224</v>
      </c>
      <c r="B102" s="8" t="s">
        <v>225</v>
      </c>
      <c r="C102" s="7" t="s">
        <v>226</v>
      </c>
      <c r="D102" s="7" t="s">
        <v>223</v>
      </c>
      <c r="E102" s="7" t="s">
        <v>30</v>
      </c>
      <c r="F102" s="7" t="s">
        <v>31</v>
      </c>
      <c r="G102" s="8" t="str">
        <f>"2020105622"</f>
        <v>2020105622</v>
      </c>
      <c r="H102" s="8" t="str">
        <f>"李航"</f>
        <v>李航</v>
      </c>
      <c r="I102" s="7" t="s">
        <v>44</v>
      </c>
      <c r="J102" s="7" t="s">
        <v>19</v>
      </c>
      <c r="K102" s="7">
        <v>75.98</v>
      </c>
    </row>
    <row r="103" ht="40.5" spans="1:11">
      <c r="A103" s="7" t="s">
        <v>227</v>
      </c>
      <c r="B103" s="8" t="s">
        <v>228</v>
      </c>
      <c r="C103" s="7" t="s">
        <v>226</v>
      </c>
      <c r="D103" s="7" t="s">
        <v>223</v>
      </c>
      <c r="E103" s="7" t="s">
        <v>30</v>
      </c>
      <c r="F103" s="7" t="s">
        <v>31</v>
      </c>
      <c r="G103" s="8" t="str">
        <f>"2020105711"</f>
        <v>2020105711</v>
      </c>
      <c r="H103" s="8" t="str">
        <f>"王凯"</f>
        <v>王凯</v>
      </c>
      <c r="I103" s="7" t="s">
        <v>55</v>
      </c>
      <c r="J103" s="7" t="s">
        <v>19</v>
      </c>
      <c r="K103" s="7">
        <v>74.48</v>
      </c>
    </row>
    <row r="104" ht="108" spans="1:11">
      <c r="A104" s="7" t="s">
        <v>229</v>
      </c>
      <c r="B104" s="8" t="s">
        <v>230</v>
      </c>
      <c r="C104" s="7" t="s">
        <v>231</v>
      </c>
      <c r="D104" s="7" t="s">
        <v>39</v>
      </c>
      <c r="E104" s="7" t="s">
        <v>30</v>
      </c>
      <c r="F104" s="7" t="s">
        <v>31</v>
      </c>
      <c r="G104" s="8" t="str">
        <f>"2020105726"</f>
        <v>2020105726</v>
      </c>
      <c r="H104" s="8" t="str">
        <f>"郭嘉成"</f>
        <v>郭嘉成</v>
      </c>
      <c r="I104" s="7" t="str">
        <f>"哈尔滨理工大学"</f>
        <v>哈尔滨理工大学</v>
      </c>
      <c r="J104" s="7" t="str">
        <f t="shared" ref="J104:J108" si="0">"本科"</f>
        <v>本科</v>
      </c>
      <c r="K104" s="8">
        <v>74.38</v>
      </c>
    </row>
    <row r="105" ht="54" spans="1:11">
      <c r="A105" s="7" t="s">
        <v>232</v>
      </c>
      <c r="B105" s="8" t="s">
        <v>233</v>
      </c>
      <c r="C105" s="7" t="s">
        <v>234</v>
      </c>
      <c r="D105" s="7" t="s">
        <v>39</v>
      </c>
      <c r="E105" s="7" t="s">
        <v>30</v>
      </c>
      <c r="F105" s="7" t="s">
        <v>31</v>
      </c>
      <c r="G105" s="8" t="str">
        <f>"2020105806"</f>
        <v>2020105806</v>
      </c>
      <c r="H105" s="8" t="str">
        <f>"季京宇"</f>
        <v>季京宇</v>
      </c>
      <c r="I105" s="7" t="str">
        <f>"淮南师范学院"</f>
        <v>淮南师范学院</v>
      </c>
      <c r="J105" s="7" t="str">
        <f t="shared" si="0"/>
        <v>本科</v>
      </c>
      <c r="K105" s="7">
        <v>75.28</v>
      </c>
    </row>
    <row r="106" ht="21" customHeight="1" spans="1:11">
      <c r="A106" s="7" t="s">
        <v>232</v>
      </c>
      <c r="B106" s="8" t="s">
        <v>235</v>
      </c>
      <c r="C106" s="7" t="s">
        <v>21</v>
      </c>
      <c r="D106" s="7" t="s">
        <v>29</v>
      </c>
      <c r="E106" s="7" t="s">
        <v>30</v>
      </c>
      <c r="F106" s="7" t="s">
        <v>31</v>
      </c>
      <c r="G106" s="8" t="str">
        <f>"2020105924"</f>
        <v>2020105924</v>
      </c>
      <c r="H106" s="8" t="str">
        <f>"郑艳艳"</f>
        <v>郑艳艳</v>
      </c>
      <c r="I106" s="7" t="str">
        <f>"山西大学"</f>
        <v>山西大学</v>
      </c>
      <c r="J106" s="7" t="str">
        <f t="shared" si="0"/>
        <v>本科</v>
      </c>
      <c r="K106" s="8">
        <v>74.12</v>
      </c>
    </row>
    <row r="107" ht="27" spans="1:11">
      <c r="A107" s="7" t="s">
        <v>236</v>
      </c>
      <c r="B107" s="8" t="s">
        <v>237</v>
      </c>
      <c r="C107" s="7" t="s">
        <v>238</v>
      </c>
      <c r="D107" s="7" t="s">
        <v>29</v>
      </c>
      <c r="E107" s="7" t="s">
        <v>30</v>
      </c>
      <c r="F107" s="7" t="s">
        <v>31</v>
      </c>
      <c r="G107" s="8" t="str">
        <f>"2020106010"</f>
        <v>2020106010</v>
      </c>
      <c r="H107" s="8" t="str">
        <f>"魏萌萌"</f>
        <v>魏萌萌</v>
      </c>
      <c r="I107" s="7" t="str">
        <f>"黄山学院"</f>
        <v>黄山学院</v>
      </c>
      <c r="J107" s="7" t="str">
        <f t="shared" si="0"/>
        <v>本科</v>
      </c>
      <c r="K107" s="7">
        <v>76.06</v>
      </c>
    </row>
    <row r="108" ht="24" customHeight="1" spans="1:11">
      <c r="A108" s="7" t="s">
        <v>236</v>
      </c>
      <c r="B108" s="8" t="s">
        <v>239</v>
      </c>
      <c r="C108" s="7" t="s">
        <v>21</v>
      </c>
      <c r="D108" s="7" t="s">
        <v>29</v>
      </c>
      <c r="E108" s="7" t="s">
        <v>30</v>
      </c>
      <c r="F108" s="7" t="s">
        <v>31</v>
      </c>
      <c r="G108" s="8" t="str">
        <f>"2020106111"</f>
        <v>2020106111</v>
      </c>
      <c r="H108" s="8" t="str">
        <f>"李小龙"</f>
        <v>李小龙</v>
      </c>
      <c r="I108" s="7" t="str">
        <f>"吉林医药学院"</f>
        <v>吉林医药学院</v>
      </c>
      <c r="J108" s="7" t="str">
        <f t="shared" si="0"/>
        <v>本科</v>
      </c>
      <c r="K108" s="7">
        <v>73.48</v>
      </c>
    </row>
    <row r="109" ht="67.5" spans="1:11">
      <c r="A109" s="7" t="s">
        <v>240</v>
      </c>
      <c r="B109" s="8" t="s">
        <v>241</v>
      </c>
      <c r="C109" s="7" t="s">
        <v>242</v>
      </c>
      <c r="D109" s="7" t="s">
        <v>39</v>
      </c>
      <c r="E109" s="7" t="s">
        <v>30</v>
      </c>
      <c r="F109" s="7" t="s">
        <v>31</v>
      </c>
      <c r="G109" s="8" t="str">
        <f>"2020106204"</f>
        <v>2020106204</v>
      </c>
      <c r="H109" s="8" t="str">
        <f>"王凡"</f>
        <v>王凡</v>
      </c>
      <c r="I109" s="7" t="str">
        <f>"江苏农牧科技职业学院"</f>
        <v>江苏农牧科技职业学院</v>
      </c>
      <c r="J109" s="7" t="str">
        <f t="shared" ref="J109:J114" si="1">"大专"</f>
        <v>大专</v>
      </c>
      <c r="K109" s="7">
        <v>76.89</v>
      </c>
    </row>
    <row r="110" ht="67.5" spans="1:11">
      <c r="A110" s="7" t="s">
        <v>240</v>
      </c>
      <c r="B110" s="8" t="s">
        <v>241</v>
      </c>
      <c r="C110" s="7" t="s">
        <v>242</v>
      </c>
      <c r="D110" s="7" t="s">
        <v>39</v>
      </c>
      <c r="E110" s="7" t="s">
        <v>30</v>
      </c>
      <c r="F110" s="7" t="s">
        <v>31</v>
      </c>
      <c r="G110" s="8" t="str">
        <f>"2020106124"</f>
        <v>2020106124</v>
      </c>
      <c r="H110" s="8" t="str">
        <f>"向炬富"</f>
        <v>向炬富</v>
      </c>
      <c r="I110" s="7" t="str">
        <f>"吉林农业大学"</f>
        <v>吉林农业大学</v>
      </c>
      <c r="J110" s="7" t="str">
        <f>"硕士研究生"</f>
        <v>硕士研究生</v>
      </c>
      <c r="K110" s="7">
        <v>73.42</v>
      </c>
    </row>
    <row r="111" ht="67.5" spans="1:11">
      <c r="A111" s="7" t="s">
        <v>240</v>
      </c>
      <c r="B111" s="8" t="s">
        <v>241</v>
      </c>
      <c r="C111" s="7" t="s">
        <v>242</v>
      </c>
      <c r="D111" s="7" t="s">
        <v>39</v>
      </c>
      <c r="E111" s="7" t="s">
        <v>30</v>
      </c>
      <c r="F111" s="7" t="s">
        <v>31</v>
      </c>
      <c r="G111" s="8" t="str">
        <f>"2020106126"</f>
        <v>2020106126</v>
      </c>
      <c r="H111" s="8" t="str">
        <f>"张启鑫"</f>
        <v>张启鑫</v>
      </c>
      <c r="I111" s="7" t="str">
        <f>"池州职业技术学院"</f>
        <v>池州职业技术学院</v>
      </c>
      <c r="J111" s="7" t="str">
        <f t="shared" si="1"/>
        <v>大专</v>
      </c>
      <c r="K111" s="7">
        <v>69.42</v>
      </c>
    </row>
    <row r="112" ht="67.5" spans="1:11">
      <c r="A112" s="7" t="s">
        <v>240</v>
      </c>
      <c r="B112" s="8" t="s">
        <v>241</v>
      </c>
      <c r="C112" s="7" t="s">
        <v>242</v>
      </c>
      <c r="D112" s="7" t="s">
        <v>39</v>
      </c>
      <c r="E112" s="7" t="s">
        <v>30</v>
      </c>
      <c r="F112" s="7" t="s">
        <v>31</v>
      </c>
      <c r="G112" s="8" t="str">
        <f>"2020106130"</f>
        <v>2020106130</v>
      </c>
      <c r="H112" s="8" t="str">
        <f>"张涛"</f>
        <v>张涛</v>
      </c>
      <c r="I112" s="7" t="str">
        <f>"宿州职业技术学院"</f>
        <v>宿州职业技术学院</v>
      </c>
      <c r="J112" s="7" t="str">
        <f t="shared" si="1"/>
        <v>大专</v>
      </c>
      <c r="K112" s="7">
        <v>68.56</v>
      </c>
    </row>
    <row r="113" ht="67.5" spans="1:11">
      <c r="A113" s="7" t="s">
        <v>240</v>
      </c>
      <c r="B113" s="8" t="s">
        <v>241</v>
      </c>
      <c r="C113" s="7" t="s">
        <v>242</v>
      </c>
      <c r="D113" s="7" t="s">
        <v>39</v>
      </c>
      <c r="E113" s="7" t="s">
        <v>30</v>
      </c>
      <c r="F113" s="7" t="s">
        <v>31</v>
      </c>
      <c r="G113" s="8" t="str">
        <f>"2020106208"</f>
        <v>2020106208</v>
      </c>
      <c r="H113" s="8" t="str">
        <f>"吴阳"</f>
        <v>吴阳</v>
      </c>
      <c r="I113" s="7" t="str">
        <f>"江苏农林职业技术学院"</f>
        <v>江苏农林职业技术学院</v>
      </c>
      <c r="J113" s="7" t="str">
        <f t="shared" si="1"/>
        <v>大专</v>
      </c>
      <c r="K113" s="8">
        <v>67.58</v>
      </c>
    </row>
    <row r="114" ht="67.5" spans="1:11">
      <c r="A114" s="7" t="s">
        <v>240</v>
      </c>
      <c r="B114" s="8" t="s">
        <v>241</v>
      </c>
      <c r="C114" s="7" t="s">
        <v>242</v>
      </c>
      <c r="D114" s="7" t="s">
        <v>39</v>
      </c>
      <c r="E114" s="7" t="s">
        <v>30</v>
      </c>
      <c r="F114" s="7" t="s">
        <v>31</v>
      </c>
      <c r="G114" s="8" t="str">
        <f>"2020106129"</f>
        <v>2020106129</v>
      </c>
      <c r="H114" s="8" t="str">
        <f>"张娜"</f>
        <v>张娜</v>
      </c>
      <c r="I114" s="7" t="str">
        <f>"池州职业技术学院"</f>
        <v>池州职业技术学院</v>
      </c>
      <c r="J114" s="7" t="str">
        <f t="shared" si="1"/>
        <v>大专</v>
      </c>
      <c r="K114" s="8">
        <v>65.38</v>
      </c>
    </row>
    <row r="115" ht="27" spans="1:11">
      <c r="A115" s="7" t="s">
        <v>240</v>
      </c>
      <c r="B115" s="8" t="s">
        <v>243</v>
      </c>
      <c r="C115" s="7" t="s">
        <v>244</v>
      </c>
      <c r="D115" s="7" t="s">
        <v>29</v>
      </c>
      <c r="E115" s="7" t="s">
        <v>30</v>
      </c>
      <c r="F115" s="7" t="s">
        <v>31</v>
      </c>
      <c r="G115" s="8" t="str">
        <f>"2020106209"</f>
        <v>2020106209</v>
      </c>
      <c r="H115" s="8" t="str">
        <f>"沈古月"</f>
        <v>沈古月</v>
      </c>
      <c r="I115" s="7" t="str">
        <f>"合肥师范学院"</f>
        <v>合肥师范学院</v>
      </c>
      <c r="J115" s="7" t="str">
        <f>"本科"</f>
        <v>本科</v>
      </c>
      <c r="K115" s="8">
        <v>71.36</v>
      </c>
    </row>
    <row r="116" ht="94.5" spans="1:11">
      <c r="A116" s="7" t="s">
        <v>245</v>
      </c>
      <c r="B116" s="8" t="s">
        <v>246</v>
      </c>
      <c r="C116" s="7" t="s">
        <v>247</v>
      </c>
      <c r="D116" s="7" t="s">
        <v>39</v>
      </c>
      <c r="E116" s="7" t="s">
        <v>63</v>
      </c>
      <c r="F116" s="7" t="s">
        <v>31</v>
      </c>
      <c r="G116" s="8" t="str">
        <f>"2020106312"</f>
        <v>2020106312</v>
      </c>
      <c r="H116" s="8" t="str">
        <f>"李晨"</f>
        <v>李晨</v>
      </c>
      <c r="I116" s="7" t="str">
        <f>"辽宁工程技术大学"</f>
        <v>辽宁工程技术大学</v>
      </c>
      <c r="J116" s="7" t="str">
        <f>"本科"</f>
        <v>本科</v>
      </c>
      <c r="K116" s="11">
        <v>79</v>
      </c>
    </row>
    <row r="117" ht="94.5" spans="1:11">
      <c r="A117" s="7" t="s">
        <v>245</v>
      </c>
      <c r="B117" s="8" t="s">
        <v>246</v>
      </c>
      <c r="C117" s="7" t="s">
        <v>247</v>
      </c>
      <c r="D117" s="7" t="s">
        <v>39</v>
      </c>
      <c r="E117" s="7" t="s">
        <v>63</v>
      </c>
      <c r="F117" s="7" t="s">
        <v>31</v>
      </c>
      <c r="G117" s="8" t="str">
        <f>"2020106318"</f>
        <v>2020106318</v>
      </c>
      <c r="H117" s="8" t="str">
        <f>"凌远胜"</f>
        <v>凌远胜</v>
      </c>
      <c r="I117" s="7" t="str">
        <f>"安徽水利水电职业技术学院"</f>
        <v>安徽水利水电职业技术学院</v>
      </c>
      <c r="J117" s="7" t="str">
        <f>"大专"</f>
        <v>大专</v>
      </c>
      <c r="K117" s="7">
        <v>75.98</v>
      </c>
    </row>
    <row r="118" ht="94.5" spans="1:11">
      <c r="A118" s="7" t="s">
        <v>245</v>
      </c>
      <c r="B118" s="8" t="s">
        <v>246</v>
      </c>
      <c r="C118" s="7" t="s">
        <v>247</v>
      </c>
      <c r="D118" s="7" t="s">
        <v>39</v>
      </c>
      <c r="E118" s="7" t="s">
        <v>63</v>
      </c>
      <c r="F118" s="7" t="s">
        <v>31</v>
      </c>
      <c r="G118" s="8" t="str">
        <f>"2020106320"</f>
        <v>2020106320</v>
      </c>
      <c r="H118" s="8" t="str">
        <f>"王帅"</f>
        <v>王帅</v>
      </c>
      <c r="I118" s="7" t="str">
        <f>"铜陵学院"</f>
        <v>铜陵学院</v>
      </c>
      <c r="J118" s="7" t="str">
        <f t="shared" ref="J118:J129" si="2">"本科"</f>
        <v>本科</v>
      </c>
      <c r="K118" s="7">
        <v>75.66</v>
      </c>
    </row>
    <row r="119" ht="94.5" spans="1:11">
      <c r="A119" s="7" t="s">
        <v>245</v>
      </c>
      <c r="B119" s="8" t="s">
        <v>246</v>
      </c>
      <c r="C119" s="7" t="s">
        <v>247</v>
      </c>
      <c r="D119" s="7" t="s">
        <v>39</v>
      </c>
      <c r="E119" s="7" t="s">
        <v>63</v>
      </c>
      <c r="F119" s="7" t="s">
        <v>31</v>
      </c>
      <c r="G119" s="8" t="str">
        <f>"2020106316"</f>
        <v>2020106316</v>
      </c>
      <c r="H119" s="8" t="str">
        <f>"相珅"</f>
        <v>相珅</v>
      </c>
      <c r="I119" s="7" t="str">
        <f>"安徽农业大学"</f>
        <v>安徽农业大学</v>
      </c>
      <c r="J119" s="7" t="str">
        <f t="shared" si="2"/>
        <v>本科</v>
      </c>
      <c r="K119" s="8">
        <v>74.6</v>
      </c>
    </row>
    <row r="120" ht="40.5" spans="1:11">
      <c r="A120" s="7" t="s">
        <v>248</v>
      </c>
      <c r="B120" s="8" t="s">
        <v>249</v>
      </c>
      <c r="C120" s="7" t="s">
        <v>250</v>
      </c>
      <c r="D120" s="7" t="s">
        <v>39</v>
      </c>
      <c r="E120" s="7" t="s">
        <v>63</v>
      </c>
      <c r="F120" s="7" t="s">
        <v>251</v>
      </c>
      <c r="G120" s="8" t="str">
        <f>"2020106413"</f>
        <v>2020106413</v>
      </c>
      <c r="H120" s="8" t="str">
        <f>"王成"</f>
        <v>王成</v>
      </c>
      <c r="I120" s="7" t="str">
        <f>"安徽水利水电职业技术学院"</f>
        <v>安徽水利水电职业技术学院</v>
      </c>
      <c r="J120" s="7" t="str">
        <f>"大专"</f>
        <v>大专</v>
      </c>
      <c r="K120" s="7">
        <v>67.62</v>
      </c>
    </row>
    <row r="121" ht="94.5" spans="1:11">
      <c r="A121" s="7" t="s">
        <v>252</v>
      </c>
      <c r="B121" s="8" t="s">
        <v>253</v>
      </c>
      <c r="C121" s="7" t="s">
        <v>247</v>
      </c>
      <c r="D121" s="7" t="s">
        <v>39</v>
      </c>
      <c r="E121" s="7" t="s">
        <v>63</v>
      </c>
      <c r="F121" s="7" t="s">
        <v>251</v>
      </c>
      <c r="G121" s="8" t="str">
        <f>"2020106504"</f>
        <v>2020106504</v>
      </c>
      <c r="H121" s="8" t="str">
        <f>"张鹏飞"</f>
        <v>张鹏飞</v>
      </c>
      <c r="I121" s="7" t="str">
        <f>"济宁学院"</f>
        <v>济宁学院</v>
      </c>
      <c r="J121" s="7" t="str">
        <f t="shared" si="2"/>
        <v>本科</v>
      </c>
      <c r="K121" s="7">
        <v>74.2</v>
      </c>
    </row>
    <row r="122" ht="94.5" spans="1:11">
      <c r="A122" s="7" t="s">
        <v>252</v>
      </c>
      <c r="B122" s="8" t="s">
        <v>253</v>
      </c>
      <c r="C122" s="7" t="s">
        <v>247</v>
      </c>
      <c r="D122" s="7" t="s">
        <v>39</v>
      </c>
      <c r="E122" s="7" t="s">
        <v>63</v>
      </c>
      <c r="F122" s="7" t="s">
        <v>251</v>
      </c>
      <c r="G122" s="8" t="str">
        <f>"2020106511"</f>
        <v>2020106511</v>
      </c>
      <c r="H122" s="8" t="str">
        <f>"高磊"</f>
        <v>高磊</v>
      </c>
      <c r="I122" s="7" t="str">
        <f>"安徽三联学院"</f>
        <v>安徽三联学院</v>
      </c>
      <c r="J122" s="7" t="str">
        <f t="shared" si="2"/>
        <v>本科</v>
      </c>
      <c r="K122" s="7">
        <v>73.06</v>
      </c>
    </row>
    <row r="123" ht="94.5" spans="1:11">
      <c r="A123" s="7" t="s">
        <v>252</v>
      </c>
      <c r="B123" s="8" t="s">
        <v>253</v>
      </c>
      <c r="C123" s="7" t="s">
        <v>247</v>
      </c>
      <c r="D123" s="7" t="s">
        <v>39</v>
      </c>
      <c r="E123" s="7" t="s">
        <v>63</v>
      </c>
      <c r="F123" s="7" t="s">
        <v>251</v>
      </c>
      <c r="G123" s="8" t="str">
        <f>"2020106417"</f>
        <v>2020106417</v>
      </c>
      <c r="H123" s="8" t="str">
        <f>"郝志明"</f>
        <v>郝志明</v>
      </c>
      <c r="I123" s="7" t="str">
        <f>"南昌理工学院"</f>
        <v>南昌理工学院</v>
      </c>
      <c r="J123" s="7" t="str">
        <f t="shared" si="2"/>
        <v>本科</v>
      </c>
      <c r="K123" s="7">
        <v>72.4</v>
      </c>
    </row>
    <row r="124" ht="67.5" spans="1:11">
      <c r="A124" s="7" t="s">
        <v>254</v>
      </c>
      <c r="B124" s="8" t="s">
        <v>255</v>
      </c>
      <c r="C124" s="7" t="s">
        <v>256</v>
      </c>
      <c r="D124" s="7" t="s">
        <v>39</v>
      </c>
      <c r="E124" s="7" t="s">
        <v>63</v>
      </c>
      <c r="F124" s="7" t="s">
        <v>251</v>
      </c>
      <c r="G124" s="8" t="str">
        <f>"2020106526"</f>
        <v>2020106526</v>
      </c>
      <c r="H124" s="8" t="str">
        <f>"吴凡"</f>
        <v>吴凡</v>
      </c>
      <c r="I124" s="7" t="str">
        <f>"商丘师范学院"</f>
        <v>商丘师范学院</v>
      </c>
      <c r="J124" s="7" t="str">
        <f t="shared" si="2"/>
        <v>本科</v>
      </c>
      <c r="K124" s="7">
        <v>72.82</v>
      </c>
    </row>
    <row r="125" ht="67.5" spans="1:11">
      <c r="A125" s="7" t="s">
        <v>254</v>
      </c>
      <c r="B125" s="8" t="s">
        <v>255</v>
      </c>
      <c r="C125" s="7" t="s">
        <v>256</v>
      </c>
      <c r="D125" s="7" t="s">
        <v>39</v>
      </c>
      <c r="E125" s="7" t="s">
        <v>63</v>
      </c>
      <c r="F125" s="7" t="s">
        <v>251</v>
      </c>
      <c r="G125" s="8" t="str">
        <f>"2020106519"</f>
        <v>2020106519</v>
      </c>
      <c r="H125" s="8" t="str">
        <f>"吴爽"</f>
        <v>吴爽</v>
      </c>
      <c r="I125" s="7" t="str">
        <f>"安徽三联学院"</f>
        <v>安徽三联学院</v>
      </c>
      <c r="J125" s="7" t="str">
        <f t="shared" si="2"/>
        <v>本科</v>
      </c>
      <c r="K125" s="7">
        <v>71.65</v>
      </c>
    </row>
    <row r="126" ht="94.5" spans="1:11">
      <c r="A126" s="7" t="s">
        <v>257</v>
      </c>
      <c r="B126" s="8" t="s">
        <v>258</v>
      </c>
      <c r="C126" s="7" t="s">
        <v>259</v>
      </c>
      <c r="D126" s="7" t="s">
        <v>29</v>
      </c>
      <c r="E126" s="7" t="s">
        <v>63</v>
      </c>
      <c r="F126" s="7" t="s">
        <v>251</v>
      </c>
      <c r="G126" s="8" t="str">
        <f>"2020106708"</f>
        <v>2020106708</v>
      </c>
      <c r="H126" s="8" t="str">
        <f>"梁宇航"</f>
        <v>梁宇航</v>
      </c>
      <c r="I126" s="7" t="str">
        <f>"安徽工程大学"</f>
        <v>安徽工程大学</v>
      </c>
      <c r="J126" s="7" t="str">
        <f t="shared" si="2"/>
        <v>本科</v>
      </c>
      <c r="K126" s="7">
        <v>75.77</v>
      </c>
    </row>
    <row r="127" ht="94.5" spans="1:11">
      <c r="A127" s="7" t="s">
        <v>257</v>
      </c>
      <c r="B127" s="8" t="s">
        <v>258</v>
      </c>
      <c r="C127" s="7" t="s">
        <v>259</v>
      </c>
      <c r="D127" s="7" t="s">
        <v>29</v>
      </c>
      <c r="E127" s="7" t="s">
        <v>63</v>
      </c>
      <c r="F127" s="7" t="s">
        <v>251</v>
      </c>
      <c r="G127" s="8" t="str">
        <f>"2020106723"</f>
        <v>2020106723</v>
      </c>
      <c r="H127" s="8" t="str">
        <f>"房文康"</f>
        <v>房文康</v>
      </c>
      <c r="I127" s="7" t="str">
        <f>"安徽工业大学工商学院"</f>
        <v>安徽工业大学工商学院</v>
      </c>
      <c r="J127" s="7" t="str">
        <f t="shared" si="2"/>
        <v>本科</v>
      </c>
      <c r="K127" s="7">
        <v>74.56</v>
      </c>
    </row>
    <row r="128" ht="94.5" spans="1:11">
      <c r="A128" s="7" t="s">
        <v>257</v>
      </c>
      <c r="B128" s="8" t="s">
        <v>258</v>
      </c>
      <c r="C128" s="7" t="s">
        <v>259</v>
      </c>
      <c r="D128" s="7" t="s">
        <v>29</v>
      </c>
      <c r="E128" s="7" t="s">
        <v>63</v>
      </c>
      <c r="F128" s="7" t="s">
        <v>251</v>
      </c>
      <c r="G128" s="8" t="str">
        <f>"2020106629"</f>
        <v>2020106629</v>
      </c>
      <c r="H128" s="8" t="str">
        <f>"殷伟伟"</f>
        <v>殷伟伟</v>
      </c>
      <c r="I128" s="7" t="str">
        <f>"宿州学院"</f>
        <v>宿州学院</v>
      </c>
      <c r="J128" s="7" t="str">
        <f t="shared" si="2"/>
        <v>本科</v>
      </c>
      <c r="K128" s="7">
        <v>74.48</v>
      </c>
    </row>
    <row r="129" ht="94.5" spans="1:11">
      <c r="A129" s="7" t="s">
        <v>257</v>
      </c>
      <c r="B129" s="8" t="s">
        <v>258</v>
      </c>
      <c r="C129" s="7" t="s">
        <v>259</v>
      </c>
      <c r="D129" s="7" t="s">
        <v>29</v>
      </c>
      <c r="E129" s="7" t="s">
        <v>63</v>
      </c>
      <c r="F129" s="7" t="s">
        <v>251</v>
      </c>
      <c r="G129" s="8" t="str">
        <f>"2020106726"</f>
        <v>2020106726</v>
      </c>
      <c r="H129" s="8" t="str">
        <f>"董畅"</f>
        <v>董畅</v>
      </c>
      <c r="I129" s="7" t="str">
        <f>"中国矿业大学"</f>
        <v>中国矿业大学</v>
      </c>
      <c r="J129" s="7" t="str">
        <f>"硕士研究生"</f>
        <v>硕士研究生</v>
      </c>
      <c r="K129" s="11">
        <v>74</v>
      </c>
    </row>
    <row r="130" ht="108" spans="1:11">
      <c r="A130" s="7" t="s">
        <v>260</v>
      </c>
      <c r="B130" s="8" t="s">
        <v>261</v>
      </c>
      <c r="C130" s="7" t="s">
        <v>262</v>
      </c>
      <c r="D130" s="7" t="s">
        <v>39</v>
      </c>
      <c r="E130" s="7" t="s">
        <v>63</v>
      </c>
      <c r="F130" s="7"/>
      <c r="G130" s="8" t="str">
        <f>"2020106825"</f>
        <v>2020106825</v>
      </c>
      <c r="H130" s="8" t="str">
        <f>"鲁小鲁"</f>
        <v>鲁小鲁</v>
      </c>
      <c r="I130" s="7" t="str">
        <f>"加拿大昆特兰理工大学"</f>
        <v>加拿大昆特兰理工大学</v>
      </c>
      <c r="J130" s="7" t="str">
        <f t="shared" ref="J130:J138" si="3">"本科"</f>
        <v>本科</v>
      </c>
      <c r="K130" s="7">
        <v>74.49</v>
      </c>
    </row>
    <row r="131" ht="94.5" spans="1:11">
      <c r="A131" s="7" t="s">
        <v>260</v>
      </c>
      <c r="B131" s="8" t="s">
        <v>263</v>
      </c>
      <c r="C131" s="7" t="s">
        <v>264</v>
      </c>
      <c r="D131" s="7" t="s">
        <v>39</v>
      </c>
      <c r="E131" s="7" t="s">
        <v>63</v>
      </c>
      <c r="F131" s="7"/>
      <c r="G131" s="8" t="str">
        <f>"2020107109"</f>
        <v>2020107109</v>
      </c>
      <c r="H131" s="8" t="str">
        <f>"靳雪东"</f>
        <v>靳雪东</v>
      </c>
      <c r="I131" s="7" t="str">
        <f>"天津工业大学"</f>
        <v>天津工业大学</v>
      </c>
      <c r="J131" s="7" t="str">
        <f t="shared" si="3"/>
        <v>本科</v>
      </c>
      <c r="K131" s="8">
        <v>74.16</v>
      </c>
    </row>
    <row r="132" spans="1:11">
      <c r="A132" s="7" t="s">
        <v>265</v>
      </c>
      <c r="B132" s="8" t="s">
        <v>266</v>
      </c>
      <c r="C132" s="7" t="s">
        <v>21</v>
      </c>
      <c r="D132" s="7" t="s">
        <v>39</v>
      </c>
      <c r="E132" s="7" t="s">
        <v>30</v>
      </c>
      <c r="F132" s="7"/>
      <c r="G132" s="8" t="str">
        <f>"2020107420"</f>
        <v>2020107420</v>
      </c>
      <c r="H132" s="8" t="str">
        <f>"戚梦凡"</f>
        <v>戚梦凡</v>
      </c>
      <c r="I132" s="7" t="str">
        <f>"宿州学院"</f>
        <v>宿州学院</v>
      </c>
      <c r="J132" s="7" t="str">
        <f t="shared" si="3"/>
        <v>本科</v>
      </c>
      <c r="K132" s="7">
        <v>75.62</v>
      </c>
    </row>
    <row r="133" ht="27" spans="1:11">
      <c r="A133" s="7" t="s">
        <v>267</v>
      </c>
      <c r="B133" s="8" t="s">
        <v>268</v>
      </c>
      <c r="C133" s="7" t="s">
        <v>21</v>
      </c>
      <c r="D133" s="7" t="s">
        <v>39</v>
      </c>
      <c r="E133" s="7" t="s">
        <v>30</v>
      </c>
      <c r="F133" s="7" t="s">
        <v>31</v>
      </c>
      <c r="G133" s="8" t="str">
        <f>"2020107528"</f>
        <v>2020107528</v>
      </c>
      <c r="H133" s="8" t="str">
        <f>"杨帆"</f>
        <v>杨帆</v>
      </c>
      <c r="I133" s="7" t="str">
        <f>"郑州航空工业管理学院"</f>
        <v>郑州航空工业管理学院</v>
      </c>
      <c r="J133" s="7" t="str">
        <f t="shared" si="3"/>
        <v>本科</v>
      </c>
      <c r="K133" s="7">
        <v>70.37</v>
      </c>
    </row>
    <row r="134" spans="1:11">
      <c r="A134" s="7" t="s">
        <v>269</v>
      </c>
      <c r="B134" s="8" t="s">
        <v>270</v>
      </c>
      <c r="C134" s="7" t="s">
        <v>21</v>
      </c>
      <c r="D134" s="7" t="s">
        <v>39</v>
      </c>
      <c r="E134" s="7" t="s">
        <v>30</v>
      </c>
      <c r="F134" s="7"/>
      <c r="G134" s="8" t="str">
        <f>"2020107729"</f>
        <v>2020107729</v>
      </c>
      <c r="H134" s="8" t="str">
        <f>"韩紫娟"</f>
        <v>韩紫娟</v>
      </c>
      <c r="I134" s="7" t="str">
        <f>"安徽省宿州学院"</f>
        <v>安徽省宿州学院</v>
      </c>
      <c r="J134" s="7" t="str">
        <f t="shared" si="3"/>
        <v>本科</v>
      </c>
      <c r="K134" s="7">
        <v>75.54</v>
      </c>
    </row>
    <row r="135" spans="1:11">
      <c r="A135" s="7" t="s">
        <v>269</v>
      </c>
      <c r="B135" s="8" t="s">
        <v>270</v>
      </c>
      <c r="C135" s="7" t="s">
        <v>21</v>
      </c>
      <c r="D135" s="7" t="s">
        <v>39</v>
      </c>
      <c r="E135" s="7" t="s">
        <v>30</v>
      </c>
      <c r="F135" s="7"/>
      <c r="G135" s="8" t="str">
        <f>"2020107822"</f>
        <v>2020107822</v>
      </c>
      <c r="H135" s="8" t="str">
        <f>"付毓"</f>
        <v>付毓</v>
      </c>
      <c r="I135" s="7" t="str">
        <f>"福建师范大学"</f>
        <v>福建师范大学</v>
      </c>
      <c r="J135" s="7" t="str">
        <f t="shared" si="3"/>
        <v>本科</v>
      </c>
      <c r="K135" s="7">
        <v>73.79</v>
      </c>
    </row>
    <row r="136" ht="67.5" spans="1:11">
      <c r="A136" s="7" t="s">
        <v>271</v>
      </c>
      <c r="B136" s="8" t="s">
        <v>272</v>
      </c>
      <c r="C136" s="7" t="s">
        <v>273</v>
      </c>
      <c r="D136" s="7" t="s">
        <v>29</v>
      </c>
      <c r="E136" s="7" t="s">
        <v>63</v>
      </c>
      <c r="F136" s="7"/>
      <c r="G136" s="8" t="str">
        <f>"2020108106"</f>
        <v>2020108106</v>
      </c>
      <c r="H136" s="8" t="str">
        <f>"杨茹梦"</f>
        <v>杨茹梦</v>
      </c>
      <c r="I136" s="7" t="str">
        <f>"淮北师范大学"</f>
        <v>淮北师范大学</v>
      </c>
      <c r="J136" s="7" t="str">
        <f t="shared" si="3"/>
        <v>本科</v>
      </c>
      <c r="K136" s="11">
        <v>76.6</v>
      </c>
    </row>
    <row r="137" ht="67.5" spans="1:11">
      <c r="A137" s="7" t="s">
        <v>271</v>
      </c>
      <c r="B137" s="8" t="s">
        <v>272</v>
      </c>
      <c r="C137" s="7" t="s">
        <v>273</v>
      </c>
      <c r="D137" s="7" t="s">
        <v>29</v>
      </c>
      <c r="E137" s="7" t="s">
        <v>63</v>
      </c>
      <c r="F137" s="7"/>
      <c r="G137" s="8" t="str">
        <f>"2020108302"</f>
        <v>2020108302</v>
      </c>
      <c r="H137" s="8" t="str">
        <f>"马赛"</f>
        <v>马赛</v>
      </c>
      <c r="I137" s="7" t="str">
        <f>"中国人民解放军南京陆军指挥学院"</f>
        <v>中国人民解放军南京陆军指挥学院</v>
      </c>
      <c r="J137" s="7" t="str">
        <f t="shared" si="3"/>
        <v>本科</v>
      </c>
      <c r="K137" s="7">
        <v>76.14</v>
      </c>
    </row>
    <row r="138" spans="1:11">
      <c r="A138" s="7" t="s">
        <v>274</v>
      </c>
      <c r="B138" s="8" t="s">
        <v>275</v>
      </c>
      <c r="C138" s="7" t="s">
        <v>21</v>
      </c>
      <c r="D138" s="7" t="s">
        <v>29</v>
      </c>
      <c r="E138" s="7" t="s">
        <v>63</v>
      </c>
      <c r="F138" s="7"/>
      <c r="G138" s="8" t="str">
        <f>"2020108510"</f>
        <v>2020108510</v>
      </c>
      <c r="H138" s="8" t="str">
        <f>"李旋"</f>
        <v>李旋</v>
      </c>
      <c r="I138" s="7" t="str">
        <f>"南京审计大学"</f>
        <v>南京审计大学</v>
      </c>
      <c r="J138" s="7" t="str">
        <f t="shared" si="3"/>
        <v>本科</v>
      </c>
      <c r="K138" s="7">
        <v>78.53</v>
      </c>
    </row>
    <row r="139" ht="27" spans="1:11">
      <c r="A139" s="7" t="s">
        <v>276</v>
      </c>
      <c r="B139" s="8" t="s">
        <v>277</v>
      </c>
      <c r="C139" s="7" t="s">
        <v>21</v>
      </c>
      <c r="D139" s="7" t="s">
        <v>39</v>
      </c>
      <c r="E139" s="7" t="s">
        <v>30</v>
      </c>
      <c r="F139" s="7"/>
      <c r="G139" s="8" t="str">
        <f>"2020108610"</f>
        <v>2020108610</v>
      </c>
      <c r="H139" s="8" t="str">
        <f>"王通"</f>
        <v>王通</v>
      </c>
      <c r="I139" s="7" t="str">
        <f>"温州职业技术学院"</f>
        <v>温州职业技术学院</v>
      </c>
      <c r="J139" s="7" t="str">
        <f t="shared" ref="J139:J142" si="4">"大专"</f>
        <v>大专</v>
      </c>
      <c r="K139" s="7">
        <v>72.57</v>
      </c>
    </row>
    <row r="140" ht="27" spans="1:11">
      <c r="A140" s="7" t="s">
        <v>276</v>
      </c>
      <c r="B140" s="8" t="s">
        <v>277</v>
      </c>
      <c r="C140" s="7" t="s">
        <v>21</v>
      </c>
      <c r="D140" s="7" t="s">
        <v>39</v>
      </c>
      <c r="E140" s="7" t="s">
        <v>30</v>
      </c>
      <c r="F140" s="7"/>
      <c r="G140" s="8" t="str">
        <f>"2020108705"</f>
        <v>2020108705</v>
      </c>
      <c r="H140" s="8" t="str">
        <f>"陈晗"</f>
        <v>陈晗</v>
      </c>
      <c r="I140" s="7" t="str">
        <f>"安徽省淮南联合大学"</f>
        <v>安徽省淮南联合大学</v>
      </c>
      <c r="J140" s="7" t="str">
        <f t="shared" si="4"/>
        <v>大专</v>
      </c>
      <c r="K140" s="12">
        <v>71.8</v>
      </c>
    </row>
    <row r="141" ht="67.5" spans="1:11">
      <c r="A141" s="7" t="s">
        <v>278</v>
      </c>
      <c r="B141" s="8" t="s">
        <v>279</v>
      </c>
      <c r="C141" s="7" t="s">
        <v>21</v>
      </c>
      <c r="D141" s="7" t="s">
        <v>39</v>
      </c>
      <c r="E141" s="7" t="s">
        <v>63</v>
      </c>
      <c r="F141" s="7" t="s">
        <v>280</v>
      </c>
      <c r="G141" s="8" t="str">
        <f>"2020109025"</f>
        <v>2020109025</v>
      </c>
      <c r="H141" s="8" t="str">
        <f>"孙立"</f>
        <v>孙立</v>
      </c>
      <c r="I141" s="7" t="str">
        <f>"安徽农业大学继续教育学院"</f>
        <v>安徽农业大学继续教育学院</v>
      </c>
      <c r="J141" s="7" t="str">
        <f t="shared" ref="J141:J144" si="5">"本科"</f>
        <v>本科</v>
      </c>
      <c r="K141" s="7">
        <v>75.18</v>
      </c>
    </row>
    <row r="142" ht="67.5" spans="1:11">
      <c r="A142" s="7" t="s">
        <v>278</v>
      </c>
      <c r="B142" s="8" t="s">
        <v>279</v>
      </c>
      <c r="C142" s="7" t="s">
        <v>21</v>
      </c>
      <c r="D142" s="7" t="s">
        <v>39</v>
      </c>
      <c r="E142" s="7" t="s">
        <v>63</v>
      </c>
      <c r="F142" s="7" t="s">
        <v>280</v>
      </c>
      <c r="G142" s="8" t="str">
        <f>"2020108911"</f>
        <v>2020108911</v>
      </c>
      <c r="H142" s="8" t="str">
        <f>"赵琪盟"</f>
        <v>赵琪盟</v>
      </c>
      <c r="I142" s="7" t="str">
        <f>"山东省经济管理干部学院"</f>
        <v>山东省经济管理干部学院</v>
      </c>
      <c r="J142" s="7" t="str">
        <f t="shared" si="4"/>
        <v>大专</v>
      </c>
      <c r="K142" s="11">
        <v>74.2</v>
      </c>
    </row>
    <row r="143" ht="94.5" spans="1:11">
      <c r="A143" s="7" t="s">
        <v>281</v>
      </c>
      <c r="B143" s="8" t="s">
        <v>282</v>
      </c>
      <c r="C143" s="7" t="s">
        <v>21</v>
      </c>
      <c r="D143" s="7" t="s">
        <v>39</v>
      </c>
      <c r="E143" s="7" t="s">
        <v>63</v>
      </c>
      <c r="F143" s="7" t="s">
        <v>283</v>
      </c>
      <c r="G143" s="8" t="str">
        <f>"2020109716"</f>
        <v>2020109716</v>
      </c>
      <c r="H143" s="8" t="str">
        <f>"申姚"</f>
        <v>申姚</v>
      </c>
      <c r="I143" s="7" t="str">
        <f>"南京大学金陵学院"</f>
        <v>南京大学金陵学院</v>
      </c>
      <c r="J143" s="7" t="str">
        <f t="shared" si="5"/>
        <v>本科</v>
      </c>
      <c r="K143" s="7">
        <v>77.02</v>
      </c>
    </row>
    <row r="144" ht="94.5" spans="1:11">
      <c r="A144" s="7" t="s">
        <v>281</v>
      </c>
      <c r="B144" s="8" t="s">
        <v>282</v>
      </c>
      <c r="C144" s="7" t="s">
        <v>21</v>
      </c>
      <c r="D144" s="7" t="s">
        <v>39</v>
      </c>
      <c r="E144" s="7" t="s">
        <v>63</v>
      </c>
      <c r="F144" s="7" t="s">
        <v>283</v>
      </c>
      <c r="G144" s="8" t="str">
        <f>"2020109626"</f>
        <v>2020109626</v>
      </c>
      <c r="H144" s="8" t="str">
        <f>"吴明星"</f>
        <v>吴明星</v>
      </c>
      <c r="I144" s="7" t="str">
        <f>"安庆师范大学"</f>
        <v>安庆师范大学</v>
      </c>
      <c r="J144" s="7" t="str">
        <f t="shared" si="5"/>
        <v>本科</v>
      </c>
      <c r="K144" s="7">
        <v>75.54</v>
      </c>
    </row>
    <row r="145" ht="94.5" spans="1:11">
      <c r="A145" s="7" t="s">
        <v>281</v>
      </c>
      <c r="B145" s="8" t="s">
        <v>282</v>
      </c>
      <c r="C145" s="7" t="s">
        <v>21</v>
      </c>
      <c r="D145" s="7" t="s">
        <v>39</v>
      </c>
      <c r="E145" s="7" t="s">
        <v>63</v>
      </c>
      <c r="F145" s="7" t="s">
        <v>283</v>
      </c>
      <c r="G145" s="8" t="str">
        <f>"2020109527"</f>
        <v>2020109527</v>
      </c>
      <c r="H145" s="8" t="str">
        <f>"王昌进"</f>
        <v>王昌进</v>
      </c>
      <c r="I145" s="7" t="str">
        <f>"安徽农业大学经济技术学院"</f>
        <v>安徽农业大学经济技术学院</v>
      </c>
      <c r="J145" s="7" t="str">
        <f>"大专"</f>
        <v>大专</v>
      </c>
      <c r="K145" s="7">
        <v>75.22</v>
      </c>
    </row>
    <row r="146" ht="94.5" spans="1:11">
      <c r="A146" s="7" t="s">
        <v>281</v>
      </c>
      <c r="B146" s="8" t="s">
        <v>282</v>
      </c>
      <c r="C146" s="7" t="s">
        <v>21</v>
      </c>
      <c r="D146" s="7" t="s">
        <v>39</v>
      </c>
      <c r="E146" s="7" t="s">
        <v>63</v>
      </c>
      <c r="F146" s="7" t="s">
        <v>283</v>
      </c>
      <c r="G146" s="8" t="str">
        <f>"2020109205"</f>
        <v>2020109205</v>
      </c>
      <c r="H146" s="8" t="str">
        <f>"王磊"</f>
        <v>王磊</v>
      </c>
      <c r="I146" s="7" t="str">
        <f>"安徽财经大学"</f>
        <v>安徽财经大学</v>
      </c>
      <c r="J146" s="7" t="str">
        <f>"本科"</f>
        <v>本科</v>
      </c>
      <c r="K146" s="11">
        <v>75.1</v>
      </c>
    </row>
    <row r="147" ht="94.5" spans="1:11">
      <c r="A147" s="7" t="s">
        <v>281</v>
      </c>
      <c r="B147" s="8" t="s">
        <v>282</v>
      </c>
      <c r="C147" s="7" t="s">
        <v>21</v>
      </c>
      <c r="D147" s="7" t="s">
        <v>39</v>
      </c>
      <c r="E147" s="7" t="s">
        <v>63</v>
      </c>
      <c r="F147" s="7" t="s">
        <v>283</v>
      </c>
      <c r="G147" s="8" t="str">
        <f>"2020109303"</f>
        <v>2020109303</v>
      </c>
      <c r="H147" s="8" t="str">
        <f>"倪龙腾"</f>
        <v>倪龙腾</v>
      </c>
      <c r="I147" s="7" t="str">
        <f>"淮南职业技术学院"</f>
        <v>淮南职业技术学院</v>
      </c>
      <c r="J147" s="7" t="str">
        <f>"大专"</f>
        <v>大专</v>
      </c>
      <c r="K147" s="7">
        <v>75.04</v>
      </c>
    </row>
    <row r="148" ht="94.5" spans="1:11">
      <c r="A148" s="7" t="s">
        <v>281</v>
      </c>
      <c r="B148" s="8" t="s">
        <v>282</v>
      </c>
      <c r="C148" s="7" t="s">
        <v>21</v>
      </c>
      <c r="D148" s="7" t="s">
        <v>39</v>
      </c>
      <c r="E148" s="7" t="s">
        <v>63</v>
      </c>
      <c r="F148" s="7" t="s">
        <v>283</v>
      </c>
      <c r="G148" s="8" t="str">
        <f>"2020109610"</f>
        <v>2020109610</v>
      </c>
      <c r="H148" s="8" t="str">
        <f>"程功利"</f>
        <v>程功利</v>
      </c>
      <c r="I148" s="7" t="str">
        <f>"重庆理工大学"</f>
        <v>重庆理工大学</v>
      </c>
      <c r="J148" s="7" t="str">
        <f>"本科"</f>
        <v>本科</v>
      </c>
      <c r="K148" s="7">
        <v>74.64</v>
      </c>
    </row>
    <row r="149" ht="94.5" spans="1:11">
      <c r="A149" s="7" t="s">
        <v>281</v>
      </c>
      <c r="B149" s="8" t="s">
        <v>282</v>
      </c>
      <c r="C149" s="7" t="s">
        <v>21</v>
      </c>
      <c r="D149" s="7" t="s">
        <v>39</v>
      </c>
      <c r="E149" s="7" t="s">
        <v>63</v>
      </c>
      <c r="F149" s="7" t="s">
        <v>283</v>
      </c>
      <c r="G149" s="8" t="str">
        <f>"2020109505"</f>
        <v>2020109505</v>
      </c>
      <c r="H149" s="8" t="str">
        <f>"郭奎"</f>
        <v>郭奎</v>
      </c>
      <c r="I149" s="7" t="str">
        <f>"重庆大学"</f>
        <v>重庆大学</v>
      </c>
      <c r="J149" s="7" t="str">
        <f>"本科"</f>
        <v>本科</v>
      </c>
      <c r="K149" s="7">
        <v>74.16</v>
      </c>
    </row>
    <row r="150" ht="81" spans="1:11">
      <c r="A150" s="7" t="s">
        <v>281</v>
      </c>
      <c r="B150" s="8" t="s">
        <v>284</v>
      </c>
      <c r="C150" s="7" t="s">
        <v>21</v>
      </c>
      <c r="D150" s="7" t="s">
        <v>39</v>
      </c>
      <c r="E150" s="7" t="s">
        <v>63</v>
      </c>
      <c r="F150" s="7" t="s">
        <v>285</v>
      </c>
      <c r="G150" s="8" t="str">
        <f>"2020110126"</f>
        <v>2020110126</v>
      </c>
      <c r="H150" s="8" t="str">
        <f>"张海洋"</f>
        <v>张海洋</v>
      </c>
      <c r="I150" s="7" t="str">
        <f>"安徽警官职业学院"</f>
        <v>安徽警官职业学院</v>
      </c>
      <c r="J150" s="7" t="str">
        <f t="shared" ref="J150:J153" si="6">"大专"</f>
        <v>大专</v>
      </c>
      <c r="K150" s="7">
        <v>72.23</v>
      </c>
    </row>
    <row r="151" ht="94.5" spans="1:11">
      <c r="A151" s="7" t="s">
        <v>286</v>
      </c>
      <c r="B151" s="8" t="s">
        <v>287</v>
      </c>
      <c r="C151" s="7" t="s">
        <v>21</v>
      </c>
      <c r="D151" s="7" t="s">
        <v>39</v>
      </c>
      <c r="E151" s="7" t="s">
        <v>63</v>
      </c>
      <c r="F151" s="7" t="s">
        <v>288</v>
      </c>
      <c r="G151" s="8" t="str">
        <f>"2020110606"</f>
        <v>2020110606</v>
      </c>
      <c r="H151" s="8" t="str">
        <f>"郭强"</f>
        <v>郭强</v>
      </c>
      <c r="I151" s="7" t="str">
        <f>"山东财经大学"</f>
        <v>山东财经大学</v>
      </c>
      <c r="J151" s="7" t="str">
        <f>"本科"</f>
        <v>本科</v>
      </c>
      <c r="K151" s="7">
        <v>76.08</v>
      </c>
    </row>
    <row r="152" ht="94.5" spans="1:11">
      <c r="A152" s="7" t="s">
        <v>286</v>
      </c>
      <c r="B152" s="8" t="s">
        <v>287</v>
      </c>
      <c r="C152" s="7" t="s">
        <v>21</v>
      </c>
      <c r="D152" s="7" t="s">
        <v>39</v>
      </c>
      <c r="E152" s="7" t="s">
        <v>63</v>
      </c>
      <c r="F152" s="7" t="s">
        <v>288</v>
      </c>
      <c r="G152" s="8" t="str">
        <f>"2020111023"</f>
        <v>2020111023</v>
      </c>
      <c r="H152" s="8" t="str">
        <f>"孙启祥"</f>
        <v>孙启祥</v>
      </c>
      <c r="I152" s="7" t="str">
        <f>"菏泽学院"</f>
        <v>菏泽学院</v>
      </c>
      <c r="J152" s="7" t="str">
        <f t="shared" si="6"/>
        <v>大专</v>
      </c>
      <c r="K152" s="7">
        <v>75.31</v>
      </c>
    </row>
    <row r="153" ht="94.5" spans="1:11">
      <c r="A153" s="7" t="s">
        <v>286</v>
      </c>
      <c r="B153" s="8" t="s">
        <v>287</v>
      </c>
      <c r="C153" s="7" t="s">
        <v>21</v>
      </c>
      <c r="D153" s="7" t="s">
        <v>39</v>
      </c>
      <c r="E153" s="7" t="s">
        <v>63</v>
      </c>
      <c r="F153" s="7" t="s">
        <v>288</v>
      </c>
      <c r="G153" s="8" t="str">
        <f>"2020110907"</f>
        <v>2020110907</v>
      </c>
      <c r="H153" s="8" t="str">
        <f>"宋伟"</f>
        <v>宋伟</v>
      </c>
      <c r="I153" s="7" t="str">
        <f>"安徽理工大学"</f>
        <v>安徽理工大学</v>
      </c>
      <c r="J153" s="7" t="str">
        <f t="shared" si="6"/>
        <v>大专</v>
      </c>
      <c r="K153" s="11">
        <v>75.1</v>
      </c>
    </row>
    <row r="154" ht="94.5" spans="1:11">
      <c r="A154" s="7" t="s">
        <v>286</v>
      </c>
      <c r="B154" s="8" t="s">
        <v>287</v>
      </c>
      <c r="C154" s="7" t="s">
        <v>21</v>
      </c>
      <c r="D154" s="7" t="s">
        <v>39</v>
      </c>
      <c r="E154" s="7" t="s">
        <v>63</v>
      </c>
      <c r="F154" s="7" t="s">
        <v>288</v>
      </c>
      <c r="G154" s="8" t="str">
        <f>"2020111125"</f>
        <v>2020111125</v>
      </c>
      <c r="H154" s="8" t="str">
        <f>"夏冰"</f>
        <v>夏冰</v>
      </c>
      <c r="I154" s="7" t="str">
        <f>"安徽三联学院"</f>
        <v>安徽三联学院</v>
      </c>
      <c r="J154" s="7" t="str">
        <f>"本科"</f>
        <v>本科</v>
      </c>
      <c r="K154" s="7">
        <v>74.85</v>
      </c>
    </row>
    <row r="155" ht="94.5" spans="1:11">
      <c r="A155" s="7" t="s">
        <v>286</v>
      </c>
      <c r="B155" s="8" t="s">
        <v>287</v>
      </c>
      <c r="C155" s="7" t="s">
        <v>21</v>
      </c>
      <c r="D155" s="7" t="s">
        <v>39</v>
      </c>
      <c r="E155" s="7" t="s">
        <v>63</v>
      </c>
      <c r="F155" s="7" t="s">
        <v>288</v>
      </c>
      <c r="G155" s="8" t="str">
        <f>"2020110509"</f>
        <v>2020110509</v>
      </c>
      <c r="H155" s="8" t="str">
        <f>"储铸豪"</f>
        <v>储铸豪</v>
      </c>
      <c r="I155" s="7" t="str">
        <f>"安徽财贸职业学院"</f>
        <v>安徽财贸职业学院</v>
      </c>
      <c r="J155" s="7" t="str">
        <f>"大专"</f>
        <v>大专</v>
      </c>
      <c r="K155" s="7">
        <v>74.4</v>
      </c>
    </row>
    <row r="156" ht="94.5" spans="1:11">
      <c r="A156" s="7" t="s">
        <v>286</v>
      </c>
      <c r="B156" s="8" t="s">
        <v>287</v>
      </c>
      <c r="C156" s="7" t="s">
        <v>21</v>
      </c>
      <c r="D156" s="7" t="s">
        <v>39</v>
      </c>
      <c r="E156" s="7" t="s">
        <v>63</v>
      </c>
      <c r="F156" s="7" t="s">
        <v>288</v>
      </c>
      <c r="G156" s="8" t="str">
        <f>"2020110527"</f>
        <v>2020110527</v>
      </c>
      <c r="H156" s="8" t="str">
        <f>"柯章涛"</f>
        <v>柯章涛</v>
      </c>
      <c r="I156" s="7" t="str">
        <f>"池州学院"</f>
        <v>池州学院</v>
      </c>
      <c r="J156" s="7" t="str">
        <f>"本科"</f>
        <v>本科</v>
      </c>
      <c r="K156" s="7">
        <v>74.29</v>
      </c>
    </row>
    <row r="157" ht="81" spans="1:11">
      <c r="A157" s="7" t="s">
        <v>286</v>
      </c>
      <c r="B157" s="8" t="s">
        <v>289</v>
      </c>
      <c r="C157" s="7" t="s">
        <v>21</v>
      </c>
      <c r="D157" s="7" t="s">
        <v>39</v>
      </c>
      <c r="E157" s="7" t="s">
        <v>63</v>
      </c>
      <c r="F157" s="7" t="s">
        <v>290</v>
      </c>
      <c r="G157" s="8" t="str">
        <f>"2020111425"</f>
        <v>2020111425</v>
      </c>
      <c r="H157" s="8" t="str">
        <f>"韩文龙"</f>
        <v>韩文龙</v>
      </c>
      <c r="I157" s="7" t="str">
        <f>"安徽理工大学"</f>
        <v>安徽理工大学</v>
      </c>
      <c r="J157" s="7" t="str">
        <f>"本科"</f>
        <v>本科</v>
      </c>
      <c r="K157" s="7">
        <v>75.76</v>
      </c>
    </row>
    <row r="158" ht="81" spans="1:11">
      <c r="A158" s="7" t="s">
        <v>286</v>
      </c>
      <c r="B158" s="8" t="s">
        <v>289</v>
      </c>
      <c r="C158" s="7" t="s">
        <v>21</v>
      </c>
      <c r="D158" s="7" t="s">
        <v>39</v>
      </c>
      <c r="E158" s="7" t="s">
        <v>63</v>
      </c>
      <c r="F158" s="7" t="s">
        <v>290</v>
      </c>
      <c r="G158" s="8" t="str">
        <f>"2020200325"</f>
        <v>2020200325</v>
      </c>
      <c r="H158" s="8" t="str">
        <f>"朱米雪"</f>
        <v>朱米雪</v>
      </c>
      <c r="I158" s="7" t="str">
        <f>"山西财经大学"</f>
        <v>山西财经大学</v>
      </c>
      <c r="J158" s="7" t="str">
        <f>"本科"</f>
        <v>本科</v>
      </c>
      <c r="K158" s="7">
        <v>75.64</v>
      </c>
    </row>
    <row r="159" ht="81" spans="1:11">
      <c r="A159" s="7" t="s">
        <v>286</v>
      </c>
      <c r="B159" s="8" t="s">
        <v>289</v>
      </c>
      <c r="C159" s="7" t="s">
        <v>21</v>
      </c>
      <c r="D159" s="7" t="s">
        <v>39</v>
      </c>
      <c r="E159" s="7" t="s">
        <v>63</v>
      </c>
      <c r="F159" s="7" t="s">
        <v>290</v>
      </c>
      <c r="G159" s="8" t="str">
        <f>"2020111507"</f>
        <v>2020111507</v>
      </c>
      <c r="H159" s="8" t="str">
        <f>"蒋涵"</f>
        <v>蒋涵</v>
      </c>
      <c r="I159" s="7" t="str">
        <f>"安徽交通职业技术学院"</f>
        <v>安徽交通职业技术学院</v>
      </c>
      <c r="J159" s="7" t="str">
        <f>"大专"</f>
        <v>大专</v>
      </c>
      <c r="K159" s="7">
        <v>75.36</v>
      </c>
    </row>
    <row r="160" ht="81" spans="1:11">
      <c r="A160" s="7" t="s">
        <v>286</v>
      </c>
      <c r="B160" s="8" t="s">
        <v>289</v>
      </c>
      <c r="C160" s="7" t="s">
        <v>21</v>
      </c>
      <c r="D160" s="7" t="s">
        <v>39</v>
      </c>
      <c r="E160" s="7" t="s">
        <v>63</v>
      </c>
      <c r="F160" s="7" t="s">
        <v>290</v>
      </c>
      <c r="G160" s="8" t="str">
        <f>"2020111722"</f>
        <v>2020111722</v>
      </c>
      <c r="H160" s="8" t="str">
        <f>"童立媛"</f>
        <v>童立媛</v>
      </c>
      <c r="I160" s="7" t="str">
        <f>"淮北师范大学信息学院"</f>
        <v>淮北师范大学信息学院</v>
      </c>
      <c r="J160" s="7" t="str">
        <f t="shared" ref="J160:J164" si="7">"本科"</f>
        <v>本科</v>
      </c>
      <c r="K160" s="7">
        <v>75.15</v>
      </c>
    </row>
    <row r="161" ht="81" spans="1:11">
      <c r="A161" s="7" t="s">
        <v>286</v>
      </c>
      <c r="B161" s="8" t="s">
        <v>289</v>
      </c>
      <c r="C161" s="7" t="s">
        <v>21</v>
      </c>
      <c r="D161" s="7" t="s">
        <v>39</v>
      </c>
      <c r="E161" s="7" t="s">
        <v>63</v>
      </c>
      <c r="F161" s="7" t="s">
        <v>290</v>
      </c>
      <c r="G161" s="8" t="str">
        <f>"2020200412"</f>
        <v>2020200412</v>
      </c>
      <c r="H161" s="8" t="str">
        <f>"刘凯"</f>
        <v>刘凯</v>
      </c>
      <c r="I161" s="7" t="str">
        <f>"安徽工业大学工商学院"</f>
        <v>安徽工业大学工商学院</v>
      </c>
      <c r="J161" s="7" t="str">
        <f t="shared" si="7"/>
        <v>本科</v>
      </c>
      <c r="K161" s="7">
        <v>74.64</v>
      </c>
    </row>
    <row r="162" ht="81" spans="1:11">
      <c r="A162" s="7" t="s">
        <v>286</v>
      </c>
      <c r="B162" s="8" t="s">
        <v>289</v>
      </c>
      <c r="C162" s="7" t="s">
        <v>21</v>
      </c>
      <c r="D162" s="7" t="s">
        <v>39</v>
      </c>
      <c r="E162" s="7" t="s">
        <v>63</v>
      </c>
      <c r="F162" s="7" t="s">
        <v>290</v>
      </c>
      <c r="G162" s="8" t="str">
        <f>"2020111608"</f>
        <v>2020111608</v>
      </c>
      <c r="H162" s="8" t="str">
        <f>"夏晨晨"</f>
        <v>夏晨晨</v>
      </c>
      <c r="I162" s="7" t="str">
        <f>"安徽师范大学"</f>
        <v>安徽师范大学</v>
      </c>
      <c r="J162" s="7" t="str">
        <f t="shared" si="7"/>
        <v>本科</v>
      </c>
      <c r="K162" s="7">
        <v>74.51</v>
      </c>
    </row>
    <row r="163" ht="94.5" spans="1:11">
      <c r="A163" s="7" t="s">
        <v>286</v>
      </c>
      <c r="B163" s="8" t="s">
        <v>291</v>
      </c>
      <c r="C163" s="7" t="s">
        <v>21</v>
      </c>
      <c r="D163" s="7" t="s">
        <v>39</v>
      </c>
      <c r="E163" s="7" t="s">
        <v>63</v>
      </c>
      <c r="F163" s="7" t="s">
        <v>292</v>
      </c>
      <c r="G163" s="8" t="str">
        <f>"2020200725"</f>
        <v>2020200725</v>
      </c>
      <c r="H163" s="8" t="str">
        <f>"高雯倩"</f>
        <v>高雯倩</v>
      </c>
      <c r="I163" s="7" t="str">
        <f>"安徽师范大学"</f>
        <v>安徽师范大学</v>
      </c>
      <c r="J163" s="7" t="str">
        <f t="shared" si="7"/>
        <v>本科</v>
      </c>
      <c r="K163" s="7">
        <v>73.79</v>
      </c>
    </row>
    <row r="164" ht="94.5" spans="1:11">
      <c r="A164" s="7" t="s">
        <v>286</v>
      </c>
      <c r="B164" s="8" t="s">
        <v>291</v>
      </c>
      <c r="C164" s="7" t="s">
        <v>21</v>
      </c>
      <c r="D164" s="7" t="s">
        <v>39</v>
      </c>
      <c r="E164" s="7" t="s">
        <v>63</v>
      </c>
      <c r="F164" s="7" t="s">
        <v>292</v>
      </c>
      <c r="G164" s="8" t="str">
        <f>"2020200511"</f>
        <v>2020200511</v>
      </c>
      <c r="H164" s="8" t="str">
        <f>"王珊"</f>
        <v>王珊</v>
      </c>
      <c r="I164" s="7" t="str">
        <f>"巢湖学院"</f>
        <v>巢湖学院</v>
      </c>
      <c r="J164" s="7" t="str">
        <f t="shared" si="7"/>
        <v>本科</v>
      </c>
      <c r="K164" s="7">
        <v>72.81</v>
      </c>
    </row>
    <row r="165" ht="94.5" spans="1:11">
      <c r="A165" s="7" t="s">
        <v>286</v>
      </c>
      <c r="B165" s="8" t="s">
        <v>291</v>
      </c>
      <c r="C165" s="7" t="s">
        <v>21</v>
      </c>
      <c r="D165" s="7" t="s">
        <v>39</v>
      </c>
      <c r="E165" s="7" t="s">
        <v>63</v>
      </c>
      <c r="F165" s="7" t="s">
        <v>292</v>
      </c>
      <c r="G165" s="8" t="str">
        <f>"2020200506"</f>
        <v>2020200506</v>
      </c>
      <c r="H165" s="8" t="str">
        <f>"王紫薇"</f>
        <v>王紫薇</v>
      </c>
      <c r="I165" s="7" t="str">
        <f>"安徽财贸职业学院"</f>
        <v>安徽财贸职业学院</v>
      </c>
      <c r="J165" s="7" t="str">
        <f>"大专"</f>
        <v>大专</v>
      </c>
      <c r="K165" s="7">
        <v>72.78</v>
      </c>
    </row>
    <row r="166" ht="94.5" spans="1:11">
      <c r="A166" s="7" t="s">
        <v>286</v>
      </c>
      <c r="B166" s="8" t="s">
        <v>291</v>
      </c>
      <c r="C166" s="7" t="s">
        <v>21</v>
      </c>
      <c r="D166" s="7" t="s">
        <v>39</v>
      </c>
      <c r="E166" s="7" t="s">
        <v>63</v>
      </c>
      <c r="F166" s="7" t="s">
        <v>292</v>
      </c>
      <c r="G166" s="8" t="str">
        <f>"2020200507"</f>
        <v>2020200507</v>
      </c>
      <c r="H166" s="8" t="str">
        <f>"孙潇"</f>
        <v>孙潇</v>
      </c>
      <c r="I166" s="7" t="str">
        <f>"中原工学院信息商务学院"</f>
        <v>中原工学院信息商务学院</v>
      </c>
      <c r="J166" s="7" t="str">
        <f t="shared" ref="J166:J170" si="8">"本科"</f>
        <v>本科</v>
      </c>
      <c r="K166" s="7">
        <v>72.66</v>
      </c>
    </row>
    <row r="167" ht="108" spans="1:11">
      <c r="A167" s="7" t="s">
        <v>293</v>
      </c>
      <c r="B167" s="8" t="s">
        <v>294</v>
      </c>
      <c r="C167" s="7" t="s">
        <v>21</v>
      </c>
      <c r="D167" s="7" t="s">
        <v>39</v>
      </c>
      <c r="E167" s="7" t="s">
        <v>63</v>
      </c>
      <c r="F167" s="7" t="s">
        <v>295</v>
      </c>
      <c r="G167" s="8" t="str">
        <f>"2020200827"</f>
        <v>2020200827</v>
      </c>
      <c r="H167" s="8" t="str">
        <f>"李元节"</f>
        <v>李元节</v>
      </c>
      <c r="I167" s="7" t="str">
        <f>"国家开放大学"</f>
        <v>国家开放大学</v>
      </c>
      <c r="J167" s="7" t="str">
        <f t="shared" si="8"/>
        <v>本科</v>
      </c>
      <c r="K167" s="7">
        <v>78.98</v>
      </c>
    </row>
    <row r="168" ht="108" spans="1:11">
      <c r="A168" s="7" t="s">
        <v>293</v>
      </c>
      <c r="B168" s="8" t="s">
        <v>294</v>
      </c>
      <c r="C168" s="7" t="s">
        <v>21</v>
      </c>
      <c r="D168" s="7" t="s">
        <v>39</v>
      </c>
      <c r="E168" s="7" t="s">
        <v>63</v>
      </c>
      <c r="F168" s="7" t="s">
        <v>295</v>
      </c>
      <c r="G168" s="8" t="str">
        <f>"2020201801"</f>
        <v>2020201801</v>
      </c>
      <c r="H168" s="8" t="str">
        <f>"郭思瑶"</f>
        <v>郭思瑶</v>
      </c>
      <c r="I168" s="7" t="str">
        <f>"国家开放大学"</f>
        <v>国家开放大学</v>
      </c>
      <c r="J168" s="7" t="str">
        <f t="shared" si="8"/>
        <v>本科</v>
      </c>
      <c r="K168" s="11">
        <v>78.8</v>
      </c>
    </row>
    <row r="169" ht="108" spans="1:11">
      <c r="A169" s="7" t="s">
        <v>293</v>
      </c>
      <c r="B169" s="8" t="s">
        <v>294</v>
      </c>
      <c r="C169" s="7" t="s">
        <v>21</v>
      </c>
      <c r="D169" s="7" t="s">
        <v>39</v>
      </c>
      <c r="E169" s="7" t="s">
        <v>63</v>
      </c>
      <c r="F169" s="7" t="s">
        <v>295</v>
      </c>
      <c r="G169" s="8" t="str">
        <f>"2020200910"</f>
        <v>2020200910</v>
      </c>
      <c r="H169" s="8" t="str">
        <f>"王涵"</f>
        <v>王涵</v>
      </c>
      <c r="I169" s="7" t="str">
        <f>"安徽工业大学"</f>
        <v>安徽工业大学</v>
      </c>
      <c r="J169" s="7" t="str">
        <f t="shared" si="8"/>
        <v>本科</v>
      </c>
      <c r="K169" s="7">
        <v>76.16</v>
      </c>
    </row>
    <row r="170" ht="108" spans="1:11">
      <c r="A170" s="7" t="s">
        <v>293</v>
      </c>
      <c r="B170" s="8" t="s">
        <v>294</v>
      </c>
      <c r="C170" s="7" t="s">
        <v>21</v>
      </c>
      <c r="D170" s="7" t="s">
        <v>39</v>
      </c>
      <c r="E170" s="7" t="s">
        <v>63</v>
      </c>
      <c r="F170" s="7" t="s">
        <v>295</v>
      </c>
      <c r="G170" s="8" t="str">
        <f>"2020201503"</f>
        <v>2020201503</v>
      </c>
      <c r="H170" s="8" t="str">
        <f>"孟然"</f>
        <v>孟然</v>
      </c>
      <c r="I170" s="7" t="str">
        <f>"西安交通大学"</f>
        <v>西安交通大学</v>
      </c>
      <c r="J170" s="7" t="str">
        <f t="shared" si="8"/>
        <v>本科</v>
      </c>
      <c r="K170" s="7">
        <v>75.96</v>
      </c>
    </row>
    <row r="171" ht="108" spans="1:11">
      <c r="A171" s="7" t="s">
        <v>293</v>
      </c>
      <c r="B171" s="8" t="s">
        <v>294</v>
      </c>
      <c r="C171" s="7" t="s">
        <v>21</v>
      </c>
      <c r="D171" s="7" t="s">
        <v>39</v>
      </c>
      <c r="E171" s="7" t="s">
        <v>63</v>
      </c>
      <c r="F171" s="7" t="s">
        <v>295</v>
      </c>
      <c r="G171" s="8" t="str">
        <f>"2020201819"</f>
        <v>2020201819</v>
      </c>
      <c r="H171" s="8" t="str">
        <f>"李阳"</f>
        <v>李阳</v>
      </c>
      <c r="I171" s="7" t="str">
        <f>"上海健康医学院"</f>
        <v>上海健康医学院</v>
      </c>
      <c r="J171" s="7" t="str">
        <f>"大专"</f>
        <v>大专</v>
      </c>
      <c r="K171" s="7">
        <v>74.68</v>
      </c>
    </row>
    <row r="172" ht="108" spans="1:11">
      <c r="A172" s="7" t="s">
        <v>293</v>
      </c>
      <c r="B172" s="8" t="s">
        <v>294</v>
      </c>
      <c r="C172" s="7" t="s">
        <v>21</v>
      </c>
      <c r="D172" s="7" t="s">
        <v>39</v>
      </c>
      <c r="E172" s="7" t="s">
        <v>63</v>
      </c>
      <c r="F172" s="7" t="s">
        <v>295</v>
      </c>
      <c r="G172" s="8" t="str">
        <f>"2020201424"</f>
        <v>2020201424</v>
      </c>
      <c r="H172" s="8" t="str">
        <f>"李晴晴"</f>
        <v>李晴晴</v>
      </c>
      <c r="I172" s="7" t="str">
        <f>"淮北师范大学"</f>
        <v>淮北师范大学</v>
      </c>
      <c r="J172" s="7" t="str">
        <f t="shared" ref="J172:J176" si="9">"本科"</f>
        <v>本科</v>
      </c>
      <c r="K172" s="8">
        <v>73.32</v>
      </c>
    </row>
    <row r="173" ht="108" spans="1:11">
      <c r="A173" s="7" t="s">
        <v>293</v>
      </c>
      <c r="B173" s="8" t="s">
        <v>294</v>
      </c>
      <c r="C173" s="7" t="s">
        <v>21</v>
      </c>
      <c r="D173" s="7" t="s">
        <v>39</v>
      </c>
      <c r="E173" s="7" t="s">
        <v>63</v>
      </c>
      <c r="F173" s="7" t="s">
        <v>295</v>
      </c>
      <c r="G173" s="8" t="str">
        <f>"2020200810"</f>
        <v>2020200810</v>
      </c>
      <c r="H173" s="8" t="str">
        <f>"张文瑾"</f>
        <v>张文瑾</v>
      </c>
      <c r="I173" s="7" t="str">
        <f>"铜陵学院"</f>
        <v>铜陵学院</v>
      </c>
      <c r="J173" s="7" t="str">
        <f t="shared" si="9"/>
        <v>本科</v>
      </c>
      <c r="K173" s="12">
        <v>73.3</v>
      </c>
    </row>
    <row r="174" ht="108" spans="1:11">
      <c r="A174" s="7" t="s">
        <v>293</v>
      </c>
      <c r="B174" s="8" t="s">
        <v>294</v>
      </c>
      <c r="C174" s="7" t="s">
        <v>21</v>
      </c>
      <c r="D174" s="7" t="s">
        <v>39</v>
      </c>
      <c r="E174" s="7" t="s">
        <v>63</v>
      </c>
      <c r="F174" s="7" t="s">
        <v>295</v>
      </c>
      <c r="G174" s="8" t="str">
        <f>"2020201316"</f>
        <v>2020201316</v>
      </c>
      <c r="H174" s="8" t="str">
        <f>"赵晨曦"</f>
        <v>赵晨曦</v>
      </c>
      <c r="I174" s="7" t="str">
        <f>"江西农业大学"</f>
        <v>江西农业大学</v>
      </c>
      <c r="J174" s="7" t="str">
        <f t="shared" si="9"/>
        <v>本科</v>
      </c>
      <c r="K174" s="8">
        <v>73.12</v>
      </c>
    </row>
    <row r="175" ht="108" spans="1:11">
      <c r="A175" s="7" t="s">
        <v>293</v>
      </c>
      <c r="B175" s="8" t="s">
        <v>296</v>
      </c>
      <c r="C175" s="7" t="s">
        <v>21</v>
      </c>
      <c r="D175" s="7" t="s">
        <v>39</v>
      </c>
      <c r="E175" s="7" t="s">
        <v>63</v>
      </c>
      <c r="F175" s="7" t="s">
        <v>297</v>
      </c>
      <c r="G175" s="8" t="str">
        <f>"2020202730"</f>
        <v>2020202730</v>
      </c>
      <c r="H175" s="8" t="str">
        <f>"李旭"</f>
        <v>李旭</v>
      </c>
      <c r="I175" s="7" t="str">
        <f>"江苏师范大学"</f>
        <v>江苏师范大学</v>
      </c>
      <c r="J175" s="7" t="str">
        <f t="shared" si="9"/>
        <v>本科</v>
      </c>
      <c r="K175" s="7">
        <v>79.35</v>
      </c>
    </row>
    <row r="176" ht="108" spans="1:11">
      <c r="A176" s="7" t="s">
        <v>293</v>
      </c>
      <c r="B176" s="8" t="s">
        <v>296</v>
      </c>
      <c r="C176" s="7" t="s">
        <v>21</v>
      </c>
      <c r="D176" s="7" t="s">
        <v>39</v>
      </c>
      <c r="E176" s="7" t="s">
        <v>63</v>
      </c>
      <c r="F176" s="7" t="s">
        <v>297</v>
      </c>
      <c r="G176" s="8" t="str">
        <f>"2020202107"</f>
        <v>2020202107</v>
      </c>
      <c r="H176" s="8" t="str">
        <f>"马阳"</f>
        <v>马阳</v>
      </c>
      <c r="I176" s="7" t="str">
        <f>"淮北师范大学"</f>
        <v>淮北师范大学</v>
      </c>
      <c r="J176" s="7" t="str">
        <f t="shared" si="9"/>
        <v>本科</v>
      </c>
      <c r="K176" s="7">
        <v>78.36</v>
      </c>
    </row>
    <row r="177" ht="108" spans="1:11">
      <c r="A177" s="7" t="s">
        <v>293</v>
      </c>
      <c r="B177" s="8" t="s">
        <v>296</v>
      </c>
      <c r="C177" s="7" t="s">
        <v>21</v>
      </c>
      <c r="D177" s="7" t="s">
        <v>39</v>
      </c>
      <c r="E177" s="7" t="s">
        <v>63</v>
      </c>
      <c r="F177" s="7" t="s">
        <v>297</v>
      </c>
      <c r="G177" s="8" t="str">
        <f>"2020202816"</f>
        <v>2020202816</v>
      </c>
      <c r="H177" s="8" t="str">
        <f>"王伟男"</f>
        <v>王伟男</v>
      </c>
      <c r="I177" s="7" t="str">
        <f>"芜湖信息技术职业学院"</f>
        <v>芜湖信息技术职业学院</v>
      </c>
      <c r="J177" s="7" t="str">
        <f>"大专"</f>
        <v>大专</v>
      </c>
      <c r="K177" s="7">
        <v>78.05</v>
      </c>
    </row>
    <row r="178" ht="108" spans="1:11">
      <c r="A178" s="7" t="s">
        <v>293</v>
      </c>
      <c r="B178" s="8" t="s">
        <v>296</v>
      </c>
      <c r="C178" s="7" t="s">
        <v>21</v>
      </c>
      <c r="D178" s="7" t="s">
        <v>39</v>
      </c>
      <c r="E178" s="7" t="s">
        <v>63</v>
      </c>
      <c r="F178" s="7" t="s">
        <v>297</v>
      </c>
      <c r="G178" s="8" t="str">
        <f>"2020202324"</f>
        <v>2020202324</v>
      </c>
      <c r="H178" s="8" t="str">
        <f>"施雨"</f>
        <v>施雨</v>
      </c>
      <c r="I178" s="7" t="str">
        <f>"安徽机电职业技术学院"</f>
        <v>安徽机电职业技术学院</v>
      </c>
      <c r="J178" s="7" t="str">
        <f>"大专"</f>
        <v>大专</v>
      </c>
      <c r="K178" s="7">
        <v>77.29</v>
      </c>
    </row>
    <row r="179" ht="108" spans="1:11">
      <c r="A179" s="7" t="s">
        <v>293</v>
      </c>
      <c r="B179" s="8" t="s">
        <v>296</v>
      </c>
      <c r="C179" s="7" t="s">
        <v>21</v>
      </c>
      <c r="D179" s="7" t="s">
        <v>39</v>
      </c>
      <c r="E179" s="7" t="s">
        <v>63</v>
      </c>
      <c r="F179" s="7" t="s">
        <v>297</v>
      </c>
      <c r="G179" s="8" t="str">
        <f>"2020202213"</f>
        <v>2020202213</v>
      </c>
      <c r="H179" s="8" t="str">
        <f>"刘继媛"</f>
        <v>刘继媛</v>
      </c>
      <c r="I179" s="7" t="str">
        <f>"哈尔滨华德学院"</f>
        <v>哈尔滨华德学院</v>
      </c>
      <c r="J179" s="7" t="str">
        <f>"本科"</f>
        <v>本科</v>
      </c>
      <c r="K179" s="7">
        <v>77.04</v>
      </c>
    </row>
    <row r="180" ht="108" spans="1:11">
      <c r="A180" s="7" t="s">
        <v>293</v>
      </c>
      <c r="B180" s="8" t="s">
        <v>296</v>
      </c>
      <c r="C180" s="7" t="s">
        <v>21</v>
      </c>
      <c r="D180" s="7" t="s">
        <v>39</v>
      </c>
      <c r="E180" s="7" t="s">
        <v>63</v>
      </c>
      <c r="F180" s="7" t="s">
        <v>297</v>
      </c>
      <c r="G180" s="8" t="str">
        <f>"2020202518"</f>
        <v>2020202518</v>
      </c>
      <c r="H180" s="8" t="str">
        <f>"王晓菲"</f>
        <v>王晓菲</v>
      </c>
      <c r="I180" s="7" t="str">
        <f>"广西财经学院"</f>
        <v>广西财经学院</v>
      </c>
      <c r="J180" s="7" t="str">
        <f>"本科"</f>
        <v>本科</v>
      </c>
      <c r="K180" s="7">
        <v>75.95</v>
      </c>
    </row>
    <row r="181" ht="108" spans="1:11">
      <c r="A181" s="7" t="s">
        <v>293</v>
      </c>
      <c r="B181" s="8" t="s">
        <v>298</v>
      </c>
      <c r="C181" s="7" t="s">
        <v>21</v>
      </c>
      <c r="D181" s="7" t="s">
        <v>39</v>
      </c>
      <c r="E181" s="7" t="s">
        <v>63</v>
      </c>
      <c r="F181" s="7" t="s">
        <v>299</v>
      </c>
      <c r="G181" s="8" t="str">
        <f>"2020202921"</f>
        <v>2020202921</v>
      </c>
      <c r="H181" s="8" t="str">
        <f>"陈肖龙"</f>
        <v>陈肖龙</v>
      </c>
      <c r="I181" s="7" t="str">
        <f>"天津科技大学"</f>
        <v>天津科技大学</v>
      </c>
      <c r="J181" s="7" t="str">
        <f>"本科"</f>
        <v>本科</v>
      </c>
      <c r="K181" s="7">
        <v>76.16</v>
      </c>
    </row>
    <row r="182" ht="108" spans="1:11">
      <c r="A182" s="7" t="s">
        <v>293</v>
      </c>
      <c r="B182" s="8" t="s">
        <v>298</v>
      </c>
      <c r="C182" s="7" t="s">
        <v>21</v>
      </c>
      <c r="D182" s="7" t="s">
        <v>39</v>
      </c>
      <c r="E182" s="7" t="s">
        <v>63</v>
      </c>
      <c r="F182" s="7" t="s">
        <v>299</v>
      </c>
      <c r="G182" s="8" t="str">
        <f>"2020203718"</f>
        <v>2020203718</v>
      </c>
      <c r="H182" s="8" t="str">
        <f>"冷严华"</f>
        <v>冷严华</v>
      </c>
      <c r="I182" s="7" t="str">
        <f>"山东商务职业学院"</f>
        <v>山东商务职业学院</v>
      </c>
      <c r="J182" s="7" t="str">
        <f>"大专"</f>
        <v>大专</v>
      </c>
      <c r="K182" s="7">
        <v>75.99</v>
      </c>
    </row>
    <row r="183" ht="108" spans="1:11">
      <c r="A183" s="7" t="s">
        <v>293</v>
      </c>
      <c r="B183" s="8" t="s">
        <v>298</v>
      </c>
      <c r="C183" s="7" t="s">
        <v>21</v>
      </c>
      <c r="D183" s="7" t="s">
        <v>39</v>
      </c>
      <c r="E183" s="7" t="s">
        <v>63</v>
      </c>
      <c r="F183" s="7" t="s">
        <v>299</v>
      </c>
      <c r="G183" s="8" t="str">
        <f>"2020203627"</f>
        <v>2020203627</v>
      </c>
      <c r="H183" s="8" t="str">
        <f>"李昊"</f>
        <v>李昊</v>
      </c>
      <c r="I183" s="7" t="str">
        <f>"池州学院"</f>
        <v>池州学院</v>
      </c>
      <c r="J183" s="7" t="str">
        <f>"本科"</f>
        <v>本科</v>
      </c>
      <c r="K183" s="7">
        <v>75.76</v>
      </c>
    </row>
    <row r="184" ht="108" spans="1:11">
      <c r="A184" s="7" t="s">
        <v>293</v>
      </c>
      <c r="B184" s="8" t="s">
        <v>298</v>
      </c>
      <c r="C184" s="7" t="s">
        <v>21</v>
      </c>
      <c r="D184" s="7" t="s">
        <v>39</v>
      </c>
      <c r="E184" s="7" t="s">
        <v>63</v>
      </c>
      <c r="F184" s="7" t="s">
        <v>299</v>
      </c>
      <c r="G184" s="8" t="str">
        <f>"2020203516"</f>
        <v>2020203516</v>
      </c>
      <c r="H184" s="8" t="str">
        <f>"刘林"</f>
        <v>刘林</v>
      </c>
      <c r="I184" s="7" t="str">
        <f>"无锡太湖学院"</f>
        <v>无锡太湖学院</v>
      </c>
      <c r="J184" s="7" t="str">
        <f>"本科"</f>
        <v>本科</v>
      </c>
      <c r="K184" s="7">
        <v>75.45</v>
      </c>
    </row>
    <row r="185" ht="108" spans="1:11">
      <c r="A185" s="7" t="s">
        <v>293</v>
      </c>
      <c r="B185" s="8" t="s">
        <v>298</v>
      </c>
      <c r="C185" s="7" t="s">
        <v>21</v>
      </c>
      <c r="D185" s="7" t="s">
        <v>39</v>
      </c>
      <c r="E185" s="7" t="s">
        <v>63</v>
      </c>
      <c r="F185" s="7" t="s">
        <v>299</v>
      </c>
      <c r="G185" s="8" t="str">
        <f>"2020203813"</f>
        <v>2020203813</v>
      </c>
      <c r="H185" s="8" t="str">
        <f>"张丹锋"</f>
        <v>张丹锋</v>
      </c>
      <c r="I185" s="7" t="str">
        <f>"徽商职业学院"</f>
        <v>徽商职业学院</v>
      </c>
      <c r="J185" s="7" t="str">
        <f>"大专"</f>
        <v>大专</v>
      </c>
      <c r="K185" s="8">
        <v>75.32</v>
      </c>
    </row>
    <row r="186" ht="94.5" spans="1:11">
      <c r="A186" s="7" t="s">
        <v>293</v>
      </c>
      <c r="B186" s="8" t="s">
        <v>300</v>
      </c>
      <c r="C186" s="7" t="s">
        <v>21</v>
      </c>
      <c r="D186" s="7" t="s">
        <v>39</v>
      </c>
      <c r="E186" s="7" t="s">
        <v>63</v>
      </c>
      <c r="F186" s="7" t="s">
        <v>301</v>
      </c>
      <c r="G186" s="8" t="str">
        <f>"2020204312"</f>
        <v>2020204312</v>
      </c>
      <c r="H186" s="8" t="str">
        <f>"李绘绘"</f>
        <v>李绘绘</v>
      </c>
      <c r="I186" s="7" t="str">
        <f>"山东农业大学"</f>
        <v>山东农业大学</v>
      </c>
      <c r="J186" s="7" t="str">
        <f t="shared" ref="J186:J195" si="10">"本科"</f>
        <v>本科</v>
      </c>
      <c r="K186" s="7">
        <v>74.58</v>
      </c>
    </row>
    <row r="187" ht="94.5" spans="1:11">
      <c r="A187" s="7" t="s">
        <v>293</v>
      </c>
      <c r="B187" s="8" t="s">
        <v>300</v>
      </c>
      <c r="C187" s="7" t="s">
        <v>21</v>
      </c>
      <c r="D187" s="7" t="s">
        <v>39</v>
      </c>
      <c r="E187" s="7" t="s">
        <v>63</v>
      </c>
      <c r="F187" s="7" t="s">
        <v>301</v>
      </c>
      <c r="G187" s="8" t="str">
        <f>"2020204127"</f>
        <v>2020204127</v>
      </c>
      <c r="H187" s="8" t="str">
        <f>"张海岩"</f>
        <v>张海岩</v>
      </c>
      <c r="I187" s="7" t="str">
        <f>"宿州学院"</f>
        <v>宿州学院</v>
      </c>
      <c r="J187" s="7" t="str">
        <f t="shared" si="10"/>
        <v>本科</v>
      </c>
      <c r="K187" s="7">
        <v>74.25</v>
      </c>
    </row>
    <row r="188" ht="94.5" spans="1:11">
      <c r="A188" s="7" t="s">
        <v>293</v>
      </c>
      <c r="B188" s="8" t="s">
        <v>300</v>
      </c>
      <c r="C188" s="7" t="s">
        <v>21</v>
      </c>
      <c r="D188" s="7" t="s">
        <v>39</v>
      </c>
      <c r="E188" s="7" t="s">
        <v>63</v>
      </c>
      <c r="F188" s="7" t="s">
        <v>301</v>
      </c>
      <c r="G188" s="8" t="str">
        <f>"2020204215"</f>
        <v>2020204215</v>
      </c>
      <c r="H188" s="8" t="str">
        <f>"吴茜"</f>
        <v>吴茜</v>
      </c>
      <c r="I188" s="7" t="str">
        <f>"淮北师范大学信息学院"</f>
        <v>淮北师范大学信息学院</v>
      </c>
      <c r="J188" s="7" t="str">
        <f t="shared" si="10"/>
        <v>本科</v>
      </c>
      <c r="K188" s="8">
        <v>73.37</v>
      </c>
    </row>
    <row r="189" ht="94.5" spans="1:11">
      <c r="A189" s="7" t="s">
        <v>293</v>
      </c>
      <c r="B189" s="8" t="s">
        <v>300</v>
      </c>
      <c r="C189" s="7" t="s">
        <v>21</v>
      </c>
      <c r="D189" s="7" t="s">
        <v>39</v>
      </c>
      <c r="E189" s="7" t="s">
        <v>63</v>
      </c>
      <c r="F189" s="7" t="s">
        <v>301</v>
      </c>
      <c r="G189" s="8" t="str">
        <f>"2020203918"</f>
        <v>2020203918</v>
      </c>
      <c r="H189" s="8" t="str">
        <f>"杨晨"</f>
        <v>杨晨</v>
      </c>
      <c r="I189" s="7" t="str">
        <f>"上海师范大学天华学院"</f>
        <v>上海师范大学天华学院</v>
      </c>
      <c r="J189" s="7" t="str">
        <f t="shared" si="10"/>
        <v>本科</v>
      </c>
      <c r="K189" s="8">
        <v>72.71</v>
      </c>
    </row>
    <row r="190" ht="81" spans="1:11">
      <c r="A190" s="7" t="s">
        <v>302</v>
      </c>
      <c r="B190" s="8" t="s">
        <v>303</v>
      </c>
      <c r="C190" s="7" t="s">
        <v>21</v>
      </c>
      <c r="D190" s="7" t="s">
        <v>29</v>
      </c>
      <c r="E190" s="7" t="s">
        <v>63</v>
      </c>
      <c r="F190" s="7" t="s">
        <v>304</v>
      </c>
      <c r="G190" s="8" t="str">
        <f>"2020204420"</f>
        <v>2020204420</v>
      </c>
      <c r="H190" s="8" t="str">
        <f>"马芷歆"</f>
        <v>马芷歆</v>
      </c>
      <c r="I190" s="7" t="str">
        <f>"池州学院"</f>
        <v>池州学院</v>
      </c>
      <c r="J190" s="7" t="str">
        <f t="shared" si="10"/>
        <v>本科</v>
      </c>
      <c r="K190" s="7">
        <v>77.23</v>
      </c>
    </row>
    <row r="191" ht="81" spans="1:11">
      <c r="A191" s="7" t="s">
        <v>302</v>
      </c>
      <c r="B191" s="8" t="s">
        <v>303</v>
      </c>
      <c r="C191" s="7" t="s">
        <v>21</v>
      </c>
      <c r="D191" s="7" t="s">
        <v>29</v>
      </c>
      <c r="E191" s="7" t="s">
        <v>63</v>
      </c>
      <c r="F191" s="7" t="s">
        <v>304</v>
      </c>
      <c r="G191" s="8" t="str">
        <f>"2020204510"</f>
        <v>2020204510</v>
      </c>
      <c r="H191" s="8" t="str">
        <f>"郭佳"</f>
        <v>郭佳</v>
      </c>
      <c r="I191" s="7" t="str">
        <f>"上海师范大学天华学院"</f>
        <v>上海师范大学天华学院</v>
      </c>
      <c r="J191" s="7" t="str">
        <f t="shared" si="10"/>
        <v>本科</v>
      </c>
      <c r="K191" s="7">
        <v>76.48</v>
      </c>
    </row>
    <row r="192" ht="81" spans="1:11">
      <c r="A192" s="7" t="s">
        <v>302</v>
      </c>
      <c r="B192" s="8" t="s">
        <v>303</v>
      </c>
      <c r="C192" s="7" t="s">
        <v>21</v>
      </c>
      <c r="D192" s="7" t="s">
        <v>29</v>
      </c>
      <c r="E192" s="7" t="s">
        <v>63</v>
      </c>
      <c r="F192" s="7" t="s">
        <v>304</v>
      </c>
      <c r="G192" s="8" t="str">
        <f>"2020204327"</f>
        <v>2020204327</v>
      </c>
      <c r="H192" s="8" t="str">
        <f>"陈思瑶"</f>
        <v>陈思瑶</v>
      </c>
      <c r="I192" s="7" t="str">
        <f>"安徽农业大学"</f>
        <v>安徽农业大学</v>
      </c>
      <c r="J192" s="7" t="str">
        <f t="shared" si="10"/>
        <v>本科</v>
      </c>
      <c r="K192" s="7">
        <v>75.69</v>
      </c>
    </row>
    <row r="193" ht="108" spans="1:11">
      <c r="A193" s="7" t="s">
        <v>302</v>
      </c>
      <c r="B193" s="8" t="s">
        <v>305</v>
      </c>
      <c r="C193" s="7" t="s">
        <v>21</v>
      </c>
      <c r="D193" s="7" t="s">
        <v>29</v>
      </c>
      <c r="E193" s="7" t="s">
        <v>63</v>
      </c>
      <c r="F193" s="7" t="s">
        <v>306</v>
      </c>
      <c r="G193" s="8" t="str">
        <f>"2020204919"</f>
        <v>2020204919</v>
      </c>
      <c r="H193" s="8" t="str">
        <f>"李子辰"</f>
        <v>李子辰</v>
      </c>
      <c r="I193" s="7" t="str">
        <f>"海南大学"</f>
        <v>海南大学</v>
      </c>
      <c r="J193" s="7" t="str">
        <f t="shared" si="10"/>
        <v>本科</v>
      </c>
      <c r="K193" s="7">
        <v>78.55</v>
      </c>
    </row>
    <row r="194" ht="108" spans="1:11">
      <c r="A194" s="7" t="s">
        <v>302</v>
      </c>
      <c r="B194" s="8" t="s">
        <v>305</v>
      </c>
      <c r="C194" s="7" t="s">
        <v>21</v>
      </c>
      <c r="D194" s="7" t="s">
        <v>29</v>
      </c>
      <c r="E194" s="7" t="s">
        <v>63</v>
      </c>
      <c r="F194" s="7" t="s">
        <v>306</v>
      </c>
      <c r="G194" s="8" t="str">
        <f>"2020204601"</f>
        <v>2020204601</v>
      </c>
      <c r="H194" s="8" t="str">
        <f>"饶莹"</f>
        <v>饶莹</v>
      </c>
      <c r="I194" s="7" t="str">
        <f>"黄山学院"</f>
        <v>黄山学院</v>
      </c>
      <c r="J194" s="7" t="str">
        <f t="shared" si="10"/>
        <v>本科</v>
      </c>
      <c r="K194" s="7">
        <v>77.48</v>
      </c>
    </row>
    <row r="195" ht="108" spans="1:11">
      <c r="A195" s="7" t="s">
        <v>302</v>
      </c>
      <c r="B195" s="8" t="s">
        <v>305</v>
      </c>
      <c r="C195" s="7" t="s">
        <v>21</v>
      </c>
      <c r="D195" s="7" t="s">
        <v>29</v>
      </c>
      <c r="E195" s="7" t="s">
        <v>63</v>
      </c>
      <c r="F195" s="7" t="s">
        <v>306</v>
      </c>
      <c r="G195" s="8" t="str">
        <f>"2020204621"</f>
        <v>2020204621</v>
      </c>
      <c r="H195" s="8" t="str">
        <f>"张莉"</f>
        <v>张莉</v>
      </c>
      <c r="I195" s="13" t="str">
        <f>"安徽财经大学"</f>
        <v>安徽财经大学</v>
      </c>
      <c r="J195" s="7" t="str">
        <f t="shared" si="10"/>
        <v>本科</v>
      </c>
      <c r="K195" s="7">
        <v>76.92</v>
      </c>
    </row>
    <row r="196" ht="108" spans="1:11">
      <c r="A196" s="7" t="s">
        <v>302</v>
      </c>
      <c r="B196" s="8" t="s">
        <v>305</v>
      </c>
      <c r="C196" s="7" t="s">
        <v>21</v>
      </c>
      <c r="D196" s="7" t="s">
        <v>29</v>
      </c>
      <c r="E196" s="7" t="s">
        <v>63</v>
      </c>
      <c r="F196" s="7" t="s">
        <v>306</v>
      </c>
      <c r="G196" s="8" t="str">
        <f>"2020205102"</f>
        <v>2020205102</v>
      </c>
      <c r="H196" s="8" t="str">
        <f>"刘露"</f>
        <v>刘露</v>
      </c>
      <c r="I196" s="7" t="str">
        <f>"安徽大学江淮学院"</f>
        <v>安徽大学江淮学院</v>
      </c>
      <c r="J196" s="7" t="str">
        <f t="shared" ref="J196:J206" si="11">"本科"</f>
        <v>本科</v>
      </c>
      <c r="K196" s="7">
        <v>76.35</v>
      </c>
    </row>
    <row r="197" ht="108" spans="1:11">
      <c r="A197" s="7" t="s">
        <v>302</v>
      </c>
      <c r="B197" s="8" t="s">
        <v>305</v>
      </c>
      <c r="C197" s="7" t="s">
        <v>21</v>
      </c>
      <c r="D197" s="7" t="s">
        <v>29</v>
      </c>
      <c r="E197" s="7" t="s">
        <v>63</v>
      </c>
      <c r="F197" s="7" t="s">
        <v>306</v>
      </c>
      <c r="G197" s="8" t="str">
        <f>"2020205011"</f>
        <v>2020205011</v>
      </c>
      <c r="H197" s="8" t="str">
        <f>"丁毅"</f>
        <v>丁毅</v>
      </c>
      <c r="I197" s="7" t="str">
        <f>"宿州学院"</f>
        <v>宿州学院</v>
      </c>
      <c r="J197" s="7" t="str">
        <f t="shared" si="11"/>
        <v>本科</v>
      </c>
      <c r="K197" s="8">
        <v>76.05</v>
      </c>
    </row>
    <row r="198" ht="108" spans="1:11">
      <c r="A198" s="7" t="s">
        <v>302</v>
      </c>
      <c r="B198" s="8" t="s">
        <v>305</v>
      </c>
      <c r="C198" s="7" t="s">
        <v>21</v>
      </c>
      <c r="D198" s="7" t="s">
        <v>29</v>
      </c>
      <c r="E198" s="7" t="s">
        <v>63</v>
      </c>
      <c r="F198" s="7" t="s">
        <v>306</v>
      </c>
      <c r="G198" s="8" t="str">
        <f>"2020205121"</f>
        <v>2020205121</v>
      </c>
      <c r="H198" s="8" t="str">
        <f>"杜娟"</f>
        <v>杜娟</v>
      </c>
      <c r="I198" s="7" t="str">
        <f>"安徽农业大学"</f>
        <v>安徽农业大学</v>
      </c>
      <c r="J198" s="7" t="str">
        <f t="shared" si="11"/>
        <v>本科</v>
      </c>
      <c r="K198" s="8">
        <v>75.85</v>
      </c>
    </row>
    <row r="199" ht="108" spans="1:11">
      <c r="A199" s="7" t="s">
        <v>302</v>
      </c>
      <c r="B199" s="8" t="s">
        <v>307</v>
      </c>
      <c r="C199" s="7" t="s">
        <v>21</v>
      </c>
      <c r="D199" s="7" t="s">
        <v>29</v>
      </c>
      <c r="E199" s="7" t="s">
        <v>63</v>
      </c>
      <c r="F199" s="7" t="s">
        <v>308</v>
      </c>
      <c r="G199" s="8" t="str">
        <f>"2020205613"</f>
        <v>2020205613</v>
      </c>
      <c r="H199" s="8" t="str">
        <f>"何策云"</f>
        <v>何策云</v>
      </c>
      <c r="I199" s="7" t="str">
        <f>"菏泽学院"</f>
        <v>菏泽学院</v>
      </c>
      <c r="J199" s="7" t="str">
        <f t="shared" si="11"/>
        <v>本科</v>
      </c>
      <c r="K199" s="7">
        <v>76.17</v>
      </c>
    </row>
    <row r="200" ht="108" spans="1:11">
      <c r="A200" s="7" t="s">
        <v>302</v>
      </c>
      <c r="B200" s="8" t="s">
        <v>307</v>
      </c>
      <c r="C200" s="7" t="s">
        <v>21</v>
      </c>
      <c r="D200" s="7" t="s">
        <v>29</v>
      </c>
      <c r="E200" s="7" t="s">
        <v>63</v>
      </c>
      <c r="F200" s="7" t="s">
        <v>308</v>
      </c>
      <c r="G200" s="8" t="str">
        <f>"2020206228"</f>
        <v>2020206228</v>
      </c>
      <c r="H200" s="8" t="str">
        <f>"程烨"</f>
        <v>程烨</v>
      </c>
      <c r="I200" s="7" t="str">
        <f>"武汉工程大学邮电与信息工程学院"</f>
        <v>武汉工程大学邮电与信息工程学院</v>
      </c>
      <c r="J200" s="7" t="str">
        <f t="shared" si="11"/>
        <v>本科</v>
      </c>
      <c r="K200" s="7">
        <v>75.52</v>
      </c>
    </row>
    <row r="201" ht="108" spans="1:11">
      <c r="A201" s="7" t="s">
        <v>302</v>
      </c>
      <c r="B201" s="8" t="s">
        <v>307</v>
      </c>
      <c r="C201" s="7" t="s">
        <v>21</v>
      </c>
      <c r="D201" s="7" t="s">
        <v>29</v>
      </c>
      <c r="E201" s="7" t="s">
        <v>63</v>
      </c>
      <c r="F201" s="7" t="s">
        <v>308</v>
      </c>
      <c r="G201" s="8" t="str">
        <f>"2020206019"</f>
        <v>2020206019</v>
      </c>
      <c r="H201" s="8" t="str">
        <f>"史卫灯"</f>
        <v>史卫灯</v>
      </c>
      <c r="I201" s="7" t="str">
        <f>"滁州学院"</f>
        <v>滁州学院</v>
      </c>
      <c r="J201" s="7" t="str">
        <f t="shared" si="11"/>
        <v>本科</v>
      </c>
      <c r="K201" s="11">
        <v>74.6</v>
      </c>
    </row>
    <row r="202" ht="108" spans="1:11">
      <c r="A202" s="7" t="s">
        <v>302</v>
      </c>
      <c r="B202" s="8" t="s">
        <v>307</v>
      </c>
      <c r="C202" s="7" t="s">
        <v>21</v>
      </c>
      <c r="D202" s="7" t="s">
        <v>29</v>
      </c>
      <c r="E202" s="7" t="s">
        <v>63</v>
      </c>
      <c r="F202" s="7" t="s">
        <v>308</v>
      </c>
      <c r="G202" s="8" t="str">
        <f>"2020205828"</f>
        <v>2020205828</v>
      </c>
      <c r="H202" s="8" t="str">
        <f>"魏寅"</f>
        <v>魏寅</v>
      </c>
      <c r="I202" s="7" t="str">
        <f>"安徽工程科技学院"</f>
        <v>安徽工程科技学院</v>
      </c>
      <c r="J202" s="7" t="str">
        <f t="shared" si="11"/>
        <v>本科</v>
      </c>
      <c r="K202" s="11">
        <v>74.5</v>
      </c>
    </row>
    <row r="203" ht="108" spans="1:11">
      <c r="A203" s="7" t="s">
        <v>302</v>
      </c>
      <c r="B203" s="8" t="s">
        <v>307</v>
      </c>
      <c r="C203" s="7" t="s">
        <v>21</v>
      </c>
      <c r="D203" s="7" t="s">
        <v>29</v>
      </c>
      <c r="E203" s="7" t="s">
        <v>63</v>
      </c>
      <c r="F203" s="7" t="s">
        <v>308</v>
      </c>
      <c r="G203" s="8" t="str">
        <f>"2020205725"</f>
        <v>2020205725</v>
      </c>
      <c r="H203" s="8" t="str">
        <f>"宋虹"</f>
        <v>宋虹</v>
      </c>
      <c r="I203" s="7" t="str">
        <f>"安徽财经大学商学院"</f>
        <v>安徽财经大学商学院</v>
      </c>
      <c r="J203" s="7" t="str">
        <f t="shared" si="11"/>
        <v>本科</v>
      </c>
      <c r="K203" s="7">
        <v>74.38</v>
      </c>
    </row>
    <row r="204" ht="108" spans="1:11">
      <c r="A204" s="7" t="s">
        <v>302</v>
      </c>
      <c r="B204" s="8" t="s">
        <v>307</v>
      </c>
      <c r="C204" s="7" t="s">
        <v>21</v>
      </c>
      <c r="D204" s="7" t="s">
        <v>29</v>
      </c>
      <c r="E204" s="7" t="s">
        <v>63</v>
      </c>
      <c r="F204" s="7" t="s">
        <v>308</v>
      </c>
      <c r="G204" s="8" t="str">
        <f>"2020206317"</f>
        <v>2020206317</v>
      </c>
      <c r="H204" s="8" t="str">
        <f>"钱芬"</f>
        <v>钱芬</v>
      </c>
      <c r="I204" s="7" t="str">
        <f>"北京师范大学香港浸会大学联合国际学院"</f>
        <v>北京师范大学香港浸会大学联合国际学院</v>
      </c>
      <c r="J204" s="7" t="str">
        <f t="shared" si="11"/>
        <v>本科</v>
      </c>
      <c r="K204" s="7">
        <v>74.06</v>
      </c>
    </row>
    <row r="205" ht="108" spans="1:11">
      <c r="A205" s="7" t="s">
        <v>302</v>
      </c>
      <c r="B205" s="8" t="s">
        <v>307</v>
      </c>
      <c r="C205" s="7" t="s">
        <v>21</v>
      </c>
      <c r="D205" s="7" t="s">
        <v>29</v>
      </c>
      <c r="E205" s="7" t="s">
        <v>63</v>
      </c>
      <c r="F205" s="7" t="s">
        <v>308</v>
      </c>
      <c r="G205" s="8" t="str">
        <f>"2020206121"</f>
        <v>2020206121</v>
      </c>
      <c r="H205" s="8" t="str">
        <f>"黄秋逸"</f>
        <v>黄秋逸</v>
      </c>
      <c r="I205" s="7" t="str">
        <f>"杭州电子科技大学"</f>
        <v>杭州电子科技大学</v>
      </c>
      <c r="J205" s="7" t="str">
        <f t="shared" si="11"/>
        <v>本科</v>
      </c>
      <c r="K205" s="11">
        <v>74</v>
      </c>
    </row>
    <row r="206" ht="108" spans="1:11">
      <c r="A206" s="7" t="s">
        <v>302</v>
      </c>
      <c r="B206" s="8" t="s">
        <v>307</v>
      </c>
      <c r="C206" s="7" t="s">
        <v>21</v>
      </c>
      <c r="D206" s="7" t="s">
        <v>29</v>
      </c>
      <c r="E206" s="7" t="s">
        <v>63</v>
      </c>
      <c r="F206" s="7" t="s">
        <v>308</v>
      </c>
      <c r="G206" s="8" t="str">
        <f>"2020206312"</f>
        <v>2020206312</v>
      </c>
      <c r="H206" s="8" t="str">
        <f>"丁佩建"</f>
        <v>丁佩建</v>
      </c>
      <c r="I206" s="7" t="str">
        <f>"安徽理工大学"</f>
        <v>安徽理工大学</v>
      </c>
      <c r="J206" s="7" t="str">
        <f t="shared" si="11"/>
        <v>本科</v>
      </c>
      <c r="K206" s="14">
        <v>73.99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554861111111111" right="0.554861111111111" top="0.590277777777778" bottom="0.590277777777778" header="0.511805555555556" footer="0.511805555555556"/>
  <pageSetup paperSize="9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李鹤然</cp:lastModifiedBy>
  <cp:revision>1</cp:revision>
  <dcterms:created xsi:type="dcterms:W3CDTF">2013-09-26T07:59:00Z</dcterms:created>
  <cp:lastPrinted>2016-09-22T00:54:00Z</cp:lastPrinted>
  <dcterms:modified xsi:type="dcterms:W3CDTF">2020-12-18T06:20:55Z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