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Sheet1!$A$1:$O$169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9" i="1"/>
  <c r="D169"/>
  <c r="C169"/>
  <c r="B169"/>
  <c r="E168"/>
  <c r="D168"/>
  <c r="C168"/>
  <c r="B168"/>
  <c r="E167"/>
  <c r="D167"/>
  <c r="C167"/>
  <c r="B167"/>
  <c r="E166"/>
  <c r="D166"/>
  <c r="C166"/>
  <c r="B166"/>
  <c r="E164"/>
  <c r="D164"/>
  <c r="C164"/>
  <c r="B164"/>
  <c r="E165"/>
  <c r="D165"/>
  <c r="C165"/>
  <c r="B165"/>
  <c r="E162"/>
  <c r="D162"/>
  <c r="C162"/>
  <c r="B162"/>
  <c r="E163"/>
  <c r="D163"/>
  <c r="C163"/>
  <c r="B163"/>
  <c r="E160"/>
  <c r="D160"/>
  <c r="C160"/>
  <c r="B160"/>
  <c r="E161"/>
  <c r="D161"/>
  <c r="C161"/>
  <c r="B161"/>
  <c r="E159"/>
  <c r="D159"/>
  <c r="C159"/>
  <c r="B159"/>
  <c r="E155"/>
  <c r="D155"/>
  <c r="C155"/>
  <c r="B155"/>
  <c r="E158"/>
  <c r="D158"/>
  <c r="C158"/>
  <c r="B158"/>
  <c r="E157"/>
  <c r="D157"/>
  <c r="C157"/>
  <c r="B157"/>
  <c r="E156"/>
  <c r="D156"/>
  <c r="C156"/>
  <c r="B156"/>
  <c r="E154"/>
  <c r="D154"/>
  <c r="C154"/>
  <c r="B154"/>
  <c r="E152"/>
  <c r="D152"/>
  <c r="C152"/>
  <c r="B152"/>
  <c r="E151"/>
  <c r="D151"/>
  <c r="C151"/>
  <c r="B151"/>
  <c r="E153"/>
  <c r="D153"/>
  <c r="C153"/>
  <c r="B153"/>
  <c r="E150"/>
  <c r="D150"/>
  <c r="C150"/>
  <c r="B150"/>
  <c r="E145"/>
  <c r="D145"/>
  <c r="C145"/>
  <c r="B145"/>
  <c r="E149"/>
  <c r="D149"/>
  <c r="C149"/>
  <c r="B149"/>
  <c r="E143"/>
  <c r="D143"/>
  <c r="C143"/>
  <c r="B143"/>
  <c r="E144"/>
  <c r="D144"/>
  <c r="C144"/>
  <c r="B144"/>
  <c r="E140"/>
  <c r="D140"/>
  <c r="C140"/>
  <c r="B140"/>
  <c r="E142"/>
  <c r="D142"/>
  <c r="C142"/>
  <c r="B142"/>
  <c r="E139"/>
  <c r="D139"/>
  <c r="C139"/>
  <c r="B139"/>
  <c r="E136"/>
  <c r="D136"/>
  <c r="C136"/>
  <c r="B136"/>
  <c r="E137"/>
  <c r="D137"/>
  <c r="C137"/>
  <c r="B137"/>
  <c r="E138"/>
  <c r="D138"/>
  <c r="C138"/>
  <c r="B138"/>
  <c r="E141"/>
  <c r="D141"/>
  <c r="C141"/>
  <c r="B141"/>
  <c r="E134"/>
  <c r="D134"/>
  <c r="C134"/>
  <c r="B134"/>
  <c r="E135"/>
  <c r="D135"/>
  <c r="C135"/>
  <c r="B135"/>
  <c r="E127"/>
  <c r="D127"/>
  <c r="C127"/>
  <c r="B127"/>
  <c r="E132"/>
  <c r="D132"/>
  <c r="C132"/>
  <c r="B132"/>
  <c r="E131"/>
  <c r="D131"/>
  <c r="C131"/>
  <c r="B131"/>
  <c r="E130"/>
  <c r="D130"/>
  <c r="C130"/>
  <c r="B130"/>
  <c r="E129"/>
  <c r="D129"/>
  <c r="C129"/>
  <c r="B129"/>
  <c r="E126"/>
  <c r="D126"/>
  <c r="C126"/>
  <c r="B126"/>
  <c r="E124"/>
  <c r="D124"/>
  <c r="C124"/>
  <c r="B124"/>
  <c r="E125"/>
  <c r="D125"/>
  <c r="C125"/>
  <c r="B125"/>
  <c r="E123"/>
  <c r="D123"/>
  <c r="C123"/>
  <c r="B123"/>
  <c r="E122"/>
  <c r="D122"/>
  <c r="C122"/>
  <c r="B122"/>
  <c r="E121"/>
  <c r="D121"/>
  <c r="C121"/>
  <c r="B121"/>
  <c r="E120"/>
  <c r="D120"/>
  <c r="C120"/>
  <c r="B120"/>
  <c r="E119"/>
  <c r="D119"/>
  <c r="C119"/>
  <c r="B119"/>
  <c r="E112"/>
  <c r="D112"/>
  <c r="C112"/>
  <c r="B112"/>
  <c r="E118"/>
  <c r="D118"/>
  <c r="C118"/>
  <c r="B118"/>
  <c r="E115"/>
  <c r="D115"/>
  <c r="C115"/>
  <c r="B115"/>
  <c r="E111"/>
  <c r="D111"/>
  <c r="C111"/>
  <c r="B111"/>
  <c r="E113"/>
  <c r="D113"/>
  <c r="C113"/>
  <c r="B113"/>
  <c r="E109"/>
  <c r="D109"/>
  <c r="C109"/>
  <c r="B109"/>
  <c r="E114"/>
  <c r="D114"/>
  <c r="C114"/>
  <c r="B114"/>
  <c r="E110"/>
  <c r="D110"/>
  <c r="C110"/>
  <c r="B110"/>
  <c r="E107"/>
  <c r="D107"/>
  <c r="C107"/>
  <c r="B107"/>
  <c r="E117"/>
  <c r="D117"/>
  <c r="C117"/>
  <c r="B117"/>
  <c r="E105"/>
  <c r="D105"/>
  <c r="C105"/>
  <c r="B105"/>
  <c r="E104"/>
  <c r="D104"/>
  <c r="C104"/>
  <c r="B104"/>
  <c r="E106"/>
  <c r="D106"/>
  <c r="C106"/>
  <c r="B106"/>
  <c r="E116"/>
  <c r="D116"/>
  <c r="C116"/>
  <c r="B116"/>
  <c r="E108"/>
  <c r="D108"/>
  <c r="C108"/>
  <c r="B108"/>
  <c r="E103"/>
  <c r="D103"/>
  <c r="C103"/>
  <c r="B103"/>
  <c r="E95"/>
  <c r="D95"/>
  <c r="C95"/>
  <c r="B95"/>
  <c r="E94"/>
  <c r="D94"/>
  <c r="C94"/>
  <c r="B94"/>
  <c r="E93"/>
  <c r="D93"/>
  <c r="C93"/>
  <c r="B93"/>
  <c r="E102"/>
  <c r="D102"/>
  <c r="C102"/>
  <c r="B102"/>
  <c r="E97"/>
  <c r="D97"/>
  <c r="C97"/>
  <c r="B97"/>
  <c r="E89"/>
  <c r="D89"/>
  <c r="C89"/>
  <c r="B89"/>
  <c r="E92"/>
  <c r="D92"/>
  <c r="C92"/>
  <c r="B92"/>
  <c r="E88"/>
  <c r="D88"/>
  <c r="C88"/>
  <c r="B88"/>
  <c r="E101"/>
  <c r="D101"/>
  <c r="C101"/>
  <c r="B101"/>
  <c r="E100"/>
  <c r="D100"/>
  <c r="C100"/>
  <c r="B100"/>
  <c r="E87"/>
  <c r="D87"/>
  <c r="C87"/>
  <c r="B87"/>
  <c r="E91"/>
  <c r="D91"/>
  <c r="C91"/>
  <c r="B91"/>
  <c r="E90"/>
  <c r="D90"/>
  <c r="C90"/>
  <c r="B90"/>
  <c r="E99"/>
  <c r="D99"/>
  <c r="C99"/>
  <c r="B99"/>
  <c r="E78"/>
  <c r="D78"/>
  <c r="C78"/>
  <c r="B78"/>
  <c r="E77"/>
  <c r="D77"/>
  <c r="C77"/>
  <c r="B77"/>
  <c r="E85"/>
  <c r="D85"/>
  <c r="C85"/>
  <c r="B85"/>
  <c r="E84"/>
  <c r="D84"/>
  <c r="C84"/>
  <c r="B84"/>
  <c r="E83"/>
  <c r="D83"/>
  <c r="C83"/>
  <c r="B83"/>
  <c r="E76"/>
  <c r="D76"/>
  <c r="C76"/>
  <c r="B76"/>
  <c r="E74"/>
  <c r="D74"/>
  <c r="C74"/>
  <c r="B74"/>
  <c r="E82"/>
  <c r="D82"/>
  <c r="C82"/>
  <c r="B82"/>
  <c r="E73"/>
  <c r="D73"/>
  <c r="C73"/>
  <c r="B73"/>
  <c r="E71"/>
  <c r="D71"/>
  <c r="C71"/>
  <c r="B71"/>
  <c r="E72"/>
  <c r="D72"/>
  <c r="C72"/>
  <c r="B72"/>
  <c r="E75"/>
  <c r="D75"/>
  <c r="C75"/>
  <c r="B75"/>
  <c r="E81"/>
  <c r="D81"/>
  <c r="C81"/>
  <c r="B81"/>
  <c r="E70"/>
  <c r="D70"/>
  <c r="C70"/>
  <c r="B70"/>
  <c r="E65"/>
  <c r="D65"/>
  <c r="C65"/>
  <c r="B65"/>
  <c r="E67"/>
  <c r="D67"/>
  <c r="C67"/>
  <c r="B67"/>
  <c r="E63"/>
  <c r="D63"/>
  <c r="C63"/>
  <c r="B63"/>
  <c r="E64"/>
  <c r="D64"/>
  <c r="C64"/>
  <c r="B64"/>
  <c r="E62"/>
  <c r="D62"/>
  <c r="C62"/>
  <c r="B62"/>
  <c r="E61"/>
  <c r="D61"/>
  <c r="C61"/>
  <c r="B61"/>
  <c r="E55"/>
  <c r="D55"/>
  <c r="C55"/>
  <c r="B55"/>
  <c r="E50"/>
  <c r="D50"/>
  <c r="C50"/>
  <c r="B50"/>
  <c r="E48"/>
  <c r="D48"/>
  <c r="C48"/>
  <c r="B48"/>
  <c r="E52"/>
  <c r="D52"/>
  <c r="C52"/>
  <c r="B52"/>
  <c r="E59"/>
  <c r="D59"/>
  <c r="C59"/>
  <c r="B59"/>
  <c r="E53"/>
  <c r="D53"/>
  <c r="C53"/>
  <c r="B53"/>
  <c r="E58"/>
  <c r="D58"/>
  <c r="C58"/>
  <c r="B58"/>
  <c r="E51"/>
  <c r="D51"/>
  <c r="C51"/>
  <c r="B51"/>
  <c r="E44"/>
  <c r="D44"/>
  <c r="C44"/>
  <c r="B44"/>
  <c r="E45"/>
  <c r="D45"/>
  <c r="C45"/>
  <c r="B45"/>
  <c r="E49"/>
  <c r="D49"/>
  <c r="C49"/>
  <c r="B49"/>
  <c r="E57"/>
  <c r="D57"/>
  <c r="C57"/>
  <c r="B57"/>
  <c r="E47"/>
  <c r="D47"/>
  <c r="C47"/>
  <c r="B47"/>
  <c r="E43"/>
  <c r="D43"/>
  <c r="C43"/>
  <c r="B43"/>
  <c r="E46"/>
  <c r="D46"/>
  <c r="C46"/>
  <c r="B46"/>
  <c r="E42"/>
  <c r="D42"/>
  <c r="C42"/>
  <c r="B42"/>
  <c r="E34"/>
  <c r="D34"/>
  <c r="C34"/>
  <c r="B34"/>
  <c r="E26"/>
  <c r="D26"/>
  <c r="C26"/>
  <c r="B26"/>
  <c r="E37"/>
  <c r="D37"/>
  <c r="C37"/>
  <c r="B37"/>
  <c r="E38"/>
  <c r="D38"/>
  <c r="C38"/>
  <c r="B38"/>
  <c r="E25"/>
  <c r="D25"/>
  <c r="C25"/>
  <c r="B25"/>
  <c r="E27"/>
  <c r="D27"/>
  <c r="C27"/>
  <c r="B27"/>
  <c r="E39"/>
  <c r="D39"/>
  <c r="C39"/>
  <c r="B39"/>
  <c r="E29"/>
  <c r="D29"/>
  <c r="C29"/>
  <c r="B29"/>
  <c r="E41"/>
  <c r="D41"/>
  <c r="C41"/>
  <c r="B41"/>
  <c r="E31"/>
  <c r="D31"/>
  <c r="C31"/>
  <c r="B31"/>
  <c r="E35"/>
  <c r="D35"/>
  <c r="C35"/>
  <c r="B35"/>
  <c r="E33"/>
  <c r="D33"/>
  <c r="C33"/>
  <c r="B33"/>
  <c r="E28"/>
  <c r="D28"/>
  <c r="C28"/>
  <c r="B28"/>
  <c r="E30"/>
  <c r="D30"/>
  <c r="C30"/>
  <c r="B30"/>
  <c r="E24"/>
  <c r="D24"/>
  <c r="C24"/>
  <c r="B24"/>
  <c r="E40"/>
  <c r="D40"/>
  <c r="C40"/>
  <c r="B40"/>
  <c r="E15"/>
  <c r="D15"/>
  <c r="C15"/>
  <c r="B15"/>
  <c r="E16"/>
  <c r="D16"/>
  <c r="C16"/>
  <c r="B16"/>
  <c r="E22"/>
  <c r="D22"/>
  <c r="C22"/>
  <c r="B22"/>
  <c r="E11"/>
  <c r="D11"/>
  <c r="C11"/>
  <c r="B11"/>
  <c r="E21"/>
  <c r="D21"/>
  <c r="C21"/>
  <c r="B21"/>
  <c r="E9"/>
  <c r="D9"/>
  <c r="C9"/>
  <c r="B9"/>
  <c r="E17"/>
  <c r="D17"/>
  <c r="C17"/>
  <c r="B17"/>
  <c r="E8"/>
  <c r="D8"/>
  <c r="C8"/>
  <c r="B8"/>
  <c r="E13"/>
  <c r="D13"/>
  <c r="C13"/>
  <c r="B13"/>
  <c r="E20"/>
  <c r="D20"/>
  <c r="C20"/>
  <c r="B20"/>
  <c r="E7"/>
  <c r="D7"/>
  <c r="C7"/>
  <c r="B7"/>
  <c r="E12"/>
  <c r="D12"/>
  <c r="C12"/>
  <c r="B12"/>
  <c r="E5"/>
  <c r="D5"/>
  <c r="C5"/>
  <c r="B5"/>
  <c r="E6"/>
  <c r="D6"/>
  <c r="C6"/>
  <c r="B6"/>
  <c r="E10"/>
  <c r="D10"/>
  <c r="C10"/>
  <c r="B10"/>
  <c r="E4"/>
  <c r="D4"/>
  <c r="C4"/>
  <c r="B4"/>
  <c r="E3"/>
  <c r="D3"/>
  <c r="C3"/>
  <c r="B3"/>
</calcChain>
</file>

<file path=xl/sharedStrings.xml><?xml version="1.0" encoding="utf-8"?>
<sst xmlns="http://schemas.openxmlformats.org/spreadsheetml/2006/main" count="316" uniqueCount="96">
  <si>
    <t>序号</t>
  </si>
  <si>
    <t>职位代码</t>
  </si>
  <si>
    <t>准考证号</t>
  </si>
  <si>
    <t>考场号</t>
  </si>
  <si>
    <t>座位号</t>
  </si>
  <si>
    <t>职位名称</t>
  </si>
  <si>
    <t>教育综合知识成绩</t>
  </si>
  <si>
    <t>教育综合知识成绩赋分</t>
  </si>
  <si>
    <t>专业知识成绩</t>
  </si>
  <si>
    <t>专业知识成绩赋分</t>
  </si>
  <si>
    <t>政策性加分</t>
  </si>
  <si>
    <t>备注</t>
  </si>
  <si>
    <t>22</t>
  </si>
  <si>
    <t>12</t>
  </si>
  <si>
    <t>27</t>
  </si>
  <si>
    <t>090</t>
  </si>
  <si>
    <t>19</t>
  </si>
  <si>
    <t>089</t>
  </si>
  <si>
    <t>15</t>
  </si>
  <si>
    <t>初中数学1</t>
  </si>
  <si>
    <t>20240308</t>
  </si>
  <si>
    <t>2420103321</t>
  </si>
  <si>
    <t>033</t>
  </si>
  <si>
    <t>21</t>
  </si>
  <si>
    <t>2420104022</t>
  </si>
  <si>
    <t>040</t>
  </si>
  <si>
    <t>2420103014</t>
  </si>
  <si>
    <t>030</t>
  </si>
  <si>
    <t>14</t>
  </si>
  <si>
    <t>2420103605</t>
  </si>
  <si>
    <t>036</t>
  </si>
  <si>
    <t>05</t>
  </si>
  <si>
    <t>25</t>
  </si>
  <si>
    <t>初中英语1</t>
  </si>
  <si>
    <t>20240310</t>
  </si>
  <si>
    <t>2420106624</t>
  </si>
  <si>
    <t>066</t>
  </si>
  <si>
    <t>24</t>
  </si>
  <si>
    <t>2420107006</t>
  </si>
  <si>
    <t>070</t>
  </si>
  <si>
    <t>06</t>
  </si>
  <si>
    <t>初中英语2</t>
  </si>
  <si>
    <t>20240311</t>
  </si>
  <si>
    <t>2420107619</t>
  </si>
  <si>
    <t>076</t>
  </si>
  <si>
    <t>2420107615</t>
  </si>
  <si>
    <t>2420108103</t>
  </si>
  <si>
    <t>081</t>
  </si>
  <si>
    <t>03</t>
  </si>
  <si>
    <t>初中心理健康教育</t>
  </si>
  <si>
    <t>20240312</t>
  </si>
  <si>
    <t>2410311925</t>
  </si>
  <si>
    <t>119</t>
  </si>
  <si>
    <t>2410312015</t>
  </si>
  <si>
    <t>120</t>
  </si>
  <si>
    <t>2410312127</t>
  </si>
  <si>
    <t>121</t>
  </si>
  <si>
    <t>初中物理</t>
  </si>
  <si>
    <t>20240313</t>
  </si>
  <si>
    <t>2420208904</t>
  </si>
  <si>
    <t>04</t>
  </si>
  <si>
    <t>2420209022</t>
  </si>
  <si>
    <t>2420208916</t>
  </si>
  <si>
    <t>16</t>
  </si>
  <si>
    <t>初中化学</t>
  </si>
  <si>
    <t>20240314</t>
  </si>
  <si>
    <t>2420209725</t>
  </si>
  <si>
    <t>097</t>
  </si>
  <si>
    <t>2420209724</t>
  </si>
  <si>
    <t>初中生物</t>
  </si>
  <si>
    <t>高中语文</t>
  </si>
  <si>
    <t>高中数学</t>
  </si>
  <si>
    <t>20240317</t>
  </si>
  <si>
    <t>2420210928</t>
  </si>
  <si>
    <t>109</t>
  </si>
  <si>
    <t>28</t>
  </si>
  <si>
    <t>2420210912</t>
  </si>
  <si>
    <t>高中英语</t>
  </si>
  <si>
    <t>高中物理</t>
  </si>
  <si>
    <t>高中化学</t>
  </si>
  <si>
    <t>20240320</t>
  </si>
  <si>
    <t>2420311920</t>
  </si>
  <si>
    <t>20</t>
  </si>
  <si>
    <t>2420311824</t>
  </si>
  <si>
    <t>118</t>
  </si>
  <si>
    <t>2420311806</t>
  </si>
  <si>
    <t>高中生物</t>
  </si>
  <si>
    <t>高中政治</t>
  </si>
  <si>
    <t>高中地理</t>
  </si>
  <si>
    <t>高中音乐</t>
  </si>
  <si>
    <t>高中体育</t>
  </si>
  <si>
    <t>笔试总成绩</t>
    <phoneticPr fontId="4" type="noConversion"/>
  </si>
  <si>
    <t>面试成绩</t>
    <phoneticPr fontId="4" type="noConversion"/>
  </si>
  <si>
    <t>综合合成成绩</t>
    <phoneticPr fontId="4" type="noConversion"/>
  </si>
  <si>
    <t>2024年度萧县中小学新任教师公开招聘面试成绩及综合合成成绩（第二批）</t>
    <phoneticPr fontId="4" type="noConversion"/>
  </si>
  <si>
    <t>缺考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</si>
</sst>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3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4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  <tableStyle name="PivotStylePreset2_Accent1" table="0" count="10">
      <tableStyleElement type="headerRow" dxfId="35"/>
      <tableStyleElement type="totalRow" dxfId="34"/>
      <tableStyleElement type="firstRowStripe" dxfId="33"/>
      <tableStyleElement type="firstColumnStripe" dxfId="32"/>
      <tableStyleElement type="firstSubtotalRow" dxfId="31"/>
      <tableStyleElement type="secon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9"/>
  <sheetViews>
    <sheetView tabSelected="1" zoomScale="85" zoomScaleNormal="85" workbookViewId="0">
      <pane ySplit="2" topLeftCell="A3" activePane="bottomLeft" state="frozen"/>
      <selection pane="bottomLeft" activeCell="U13" sqref="U13"/>
    </sheetView>
  </sheetViews>
  <sheetFormatPr defaultColWidth="9" defaultRowHeight="24" customHeight="1"/>
  <cols>
    <col min="1" max="1" width="6" customWidth="1"/>
    <col min="2" max="2" width="10.375" customWidth="1"/>
    <col min="3" max="3" width="11.5" customWidth="1"/>
    <col min="4" max="4" width="7.125" customWidth="1"/>
    <col min="5" max="5" width="6.875" customWidth="1"/>
    <col min="6" max="6" width="10.5" customWidth="1"/>
    <col min="7" max="10" width="9" customWidth="1"/>
    <col min="11" max="11" width="6.25" customWidth="1"/>
    <col min="12" max="12" width="8.75" customWidth="1"/>
    <col min="13" max="14" width="8.75" style="38" customWidth="1"/>
    <col min="15" max="15" width="12" style="5" customWidth="1"/>
    <col min="16" max="17" width="9" style="3"/>
  </cols>
  <sheetData>
    <row r="1" spans="1:17" s="1" customFormat="1" ht="44.25" customHeight="1">
      <c r="A1" s="41" t="s">
        <v>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7"/>
      <c r="Q1" s="17"/>
    </row>
    <row r="2" spans="1:17" s="1" customFormat="1" ht="45" customHeight="1">
      <c r="A2" s="2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18" t="s">
        <v>7</v>
      </c>
      <c r="I2" s="8" t="s">
        <v>8</v>
      </c>
      <c r="J2" s="18" t="s">
        <v>9</v>
      </c>
      <c r="K2" s="8" t="s">
        <v>10</v>
      </c>
      <c r="L2" s="26" t="s">
        <v>91</v>
      </c>
      <c r="M2" s="33" t="s">
        <v>92</v>
      </c>
      <c r="N2" s="33" t="s">
        <v>93</v>
      </c>
      <c r="O2" s="13" t="s">
        <v>11</v>
      </c>
      <c r="P2" s="17"/>
      <c r="Q2" s="17"/>
    </row>
    <row r="3" spans="1:17" ht="24" customHeight="1">
      <c r="A3" s="13">
        <v>1</v>
      </c>
      <c r="B3" s="14" t="str">
        <f t="shared" ref="B3:B13" si="0">"20240308"</f>
        <v>20240308</v>
      </c>
      <c r="C3" s="15" t="str">
        <f>"2420103915"</f>
        <v>2420103915</v>
      </c>
      <c r="D3" s="15" t="str">
        <f>"039"</f>
        <v>039</v>
      </c>
      <c r="E3" s="15" t="str">
        <f>"15"</f>
        <v>15</v>
      </c>
      <c r="F3" s="16" t="s">
        <v>19</v>
      </c>
      <c r="G3" s="16">
        <v>83.5</v>
      </c>
      <c r="H3" s="22">
        <v>69.5833333333333</v>
      </c>
      <c r="I3" s="16">
        <v>104.4</v>
      </c>
      <c r="J3" s="22">
        <v>87</v>
      </c>
      <c r="K3" s="16"/>
      <c r="L3" s="23">
        <v>78.2916666666667</v>
      </c>
      <c r="M3" s="34">
        <v>84.42</v>
      </c>
      <c r="N3" s="34">
        <v>80.739999999999995</v>
      </c>
      <c r="O3" s="21"/>
    </row>
    <row r="4" spans="1:17" ht="24" customHeight="1">
      <c r="A4" s="13">
        <v>2</v>
      </c>
      <c r="B4" s="14" t="str">
        <f t="shared" si="0"/>
        <v>20240308</v>
      </c>
      <c r="C4" s="15" t="str">
        <f>"2420103909"</f>
        <v>2420103909</v>
      </c>
      <c r="D4" s="15" t="str">
        <f>"039"</f>
        <v>039</v>
      </c>
      <c r="E4" s="15" t="str">
        <f>"09"</f>
        <v>09</v>
      </c>
      <c r="F4" s="16" t="s">
        <v>19</v>
      </c>
      <c r="G4" s="16">
        <v>88</v>
      </c>
      <c r="H4" s="22">
        <v>73.3333333333333</v>
      </c>
      <c r="I4" s="16">
        <v>98.2</v>
      </c>
      <c r="J4" s="22">
        <v>81.8333333333333</v>
      </c>
      <c r="K4" s="16"/>
      <c r="L4" s="23">
        <v>77.5833333333333</v>
      </c>
      <c r="M4" s="34">
        <v>84.04</v>
      </c>
      <c r="N4" s="34">
        <v>80.17</v>
      </c>
      <c r="O4" s="21"/>
    </row>
    <row r="5" spans="1:17" ht="24" customHeight="1">
      <c r="A5" s="13">
        <v>3</v>
      </c>
      <c r="B5" s="14" t="str">
        <f t="shared" si="0"/>
        <v>20240308</v>
      </c>
      <c r="C5" s="15" t="str">
        <f>"2420103016"</f>
        <v>2420103016</v>
      </c>
      <c r="D5" s="15" t="str">
        <f>"030"</f>
        <v>030</v>
      </c>
      <c r="E5" s="15" t="str">
        <f>"16"</f>
        <v>16</v>
      </c>
      <c r="F5" s="16" t="s">
        <v>19</v>
      </c>
      <c r="G5" s="16">
        <v>93.5</v>
      </c>
      <c r="H5" s="22">
        <v>77.9166666666667</v>
      </c>
      <c r="I5" s="16">
        <v>89.9</v>
      </c>
      <c r="J5" s="22">
        <v>74.9166666666667</v>
      </c>
      <c r="K5" s="16"/>
      <c r="L5" s="23">
        <v>76.4166666666667</v>
      </c>
      <c r="M5" s="34">
        <v>84.42</v>
      </c>
      <c r="N5" s="34">
        <v>79.62</v>
      </c>
      <c r="O5" s="21"/>
    </row>
    <row r="6" spans="1:17" ht="24" customHeight="1">
      <c r="A6" s="13">
        <v>4</v>
      </c>
      <c r="B6" s="14" t="str">
        <f t="shared" si="0"/>
        <v>20240308</v>
      </c>
      <c r="C6" s="15" t="str">
        <f>"2420104225"</f>
        <v>2420104225</v>
      </c>
      <c r="D6" s="15" t="str">
        <f>"042"</f>
        <v>042</v>
      </c>
      <c r="E6" s="15" t="str">
        <f>"25"</f>
        <v>25</v>
      </c>
      <c r="F6" s="16" t="s">
        <v>19</v>
      </c>
      <c r="G6" s="16">
        <v>87</v>
      </c>
      <c r="H6" s="22">
        <v>72.5</v>
      </c>
      <c r="I6" s="16">
        <v>97</v>
      </c>
      <c r="J6" s="22">
        <v>80.8333333333333</v>
      </c>
      <c r="K6" s="16"/>
      <c r="L6" s="23">
        <v>76.6666666666667</v>
      </c>
      <c r="M6" s="34">
        <v>83.04</v>
      </c>
      <c r="N6" s="34">
        <v>79.22</v>
      </c>
      <c r="O6" s="21"/>
    </row>
    <row r="7" spans="1:17" ht="24" customHeight="1">
      <c r="A7" s="13">
        <v>5</v>
      </c>
      <c r="B7" s="14" t="str">
        <f t="shared" si="0"/>
        <v>20240308</v>
      </c>
      <c r="C7" s="15" t="str">
        <f>"2420104301"</f>
        <v>2420104301</v>
      </c>
      <c r="D7" s="15" t="str">
        <f>"043"</f>
        <v>043</v>
      </c>
      <c r="E7" s="15" t="str">
        <f>"01"</f>
        <v>01</v>
      </c>
      <c r="F7" s="16" t="s">
        <v>19</v>
      </c>
      <c r="G7" s="16">
        <v>83</v>
      </c>
      <c r="H7" s="22">
        <v>69.1666666666667</v>
      </c>
      <c r="I7" s="16">
        <v>98.8</v>
      </c>
      <c r="J7" s="22">
        <v>82.3333333333333</v>
      </c>
      <c r="K7" s="16"/>
      <c r="L7" s="23">
        <v>75.75</v>
      </c>
      <c r="M7" s="34">
        <v>83.72</v>
      </c>
      <c r="N7" s="34">
        <v>78.94</v>
      </c>
      <c r="O7" s="21"/>
    </row>
    <row r="8" spans="1:17" ht="24" customHeight="1">
      <c r="A8" s="13">
        <v>6</v>
      </c>
      <c r="B8" s="14" t="str">
        <f t="shared" si="0"/>
        <v>20240308</v>
      </c>
      <c r="C8" s="15" t="str">
        <f>"2420104227"</f>
        <v>2420104227</v>
      </c>
      <c r="D8" s="15" t="str">
        <f>"042"</f>
        <v>042</v>
      </c>
      <c r="E8" s="15" t="str">
        <f>"27"</f>
        <v>27</v>
      </c>
      <c r="F8" s="16" t="s">
        <v>19</v>
      </c>
      <c r="G8" s="16">
        <v>91.5</v>
      </c>
      <c r="H8" s="22">
        <v>76.25</v>
      </c>
      <c r="I8" s="16">
        <v>88.9</v>
      </c>
      <c r="J8" s="22">
        <v>74.0833333333333</v>
      </c>
      <c r="K8" s="16"/>
      <c r="L8" s="23">
        <v>75.1666666666667</v>
      </c>
      <c r="M8" s="34">
        <v>84.14</v>
      </c>
      <c r="N8" s="34">
        <v>78.760000000000005</v>
      </c>
      <c r="O8" s="21"/>
    </row>
    <row r="9" spans="1:17" ht="24" customHeight="1">
      <c r="A9" s="13">
        <v>7</v>
      </c>
      <c r="B9" s="14" t="str">
        <f t="shared" si="0"/>
        <v>20240308</v>
      </c>
      <c r="C9" s="15" t="str">
        <f>"2420103107"</f>
        <v>2420103107</v>
      </c>
      <c r="D9" s="15" t="str">
        <f>"031"</f>
        <v>031</v>
      </c>
      <c r="E9" s="15" t="str">
        <f>"07"</f>
        <v>07</v>
      </c>
      <c r="F9" s="16" t="s">
        <v>19</v>
      </c>
      <c r="G9" s="16">
        <v>78</v>
      </c>
      <c r="H9" s="22">
        <v>65</v>
      </c>
      <c r="I9" s="16">
        <v>101.6</v>
      </c>
      <c r="J9" s="22">
        <v>84.6666666666667</v>
      </c>
      <c r="K9" s="16"/>
      <c r="L9" s="23">
        <v>74.8333333333333</v>
      </c>
      <c r="M9" s="34">
        <v>83.24</v>
      </c>
      <c r="N9" s="34">
        <v>78.2</v>
      </c>
      <c r="O9" s="21"/>
    </row>
    <row r="10" spans="1:17" ht="24" customHeight="1">
      <c r="A10" s="13">
        <v>8</v>
      </c>
      <c r="B10" s="14" t="str">
        <f t="shared" si="0"/>
        <v>20240308</v>
      </c>
      <c r="C10" s="15" t="str">
        <f>"2420103610"</f>
        <v>2420103610</v>
      </c>
      <c r="D10" s="15" t="str">
        <f>"036"</f>
        <v>036</v>
      </c>
      <c r="E10" s="15" t="str">
        <f>"10"</f>
        <v>10</v>
      </c>
      <c r="F10" s="16" t="s">
        <v>19</v>
      </c>
      <c r="G10" s="16">
        <v>92</v>
      </c>
      <c r="H10" s="22">
        <v>76.6666666666667</v>
      </c>
      <c r="I10" s="16">
        <v>92.9</v>
      </c>
      <c r="J10" s="22">
        <v>77.4166666666667</v>
      </c>
      <c r="K10" s="16"/>
      <c r="L10" s="23">
        <v>77.0416666666667</v>
      </c>
      <c r="M10" s="34">
        <v>79.48</v>
      </c>
      <c r="N10" s="34">
        <v>78.02</v>
      </c>
      <c r="O10" s="21"/>
    </row>
    <row r="11" spans="1:17" ht="24" customHeight="1">
      <c r="A11" s="13">
        <v>9</v>
      </c>
      <c r="B11" s="14" t="str">
        <f t="shared" si="0"/>
        <v>20240308</v>
      </c>
      <c r="C11" s="15" t="str">
        <f>"2420103002"</f>
        <v>2420103002</v>
      </c>
      <c r="D11" s="15" t="str">
        <f>"030"</f>
        <v>030</v>
      </c>
      <c r="E11" s="15" t="str">
        <f>"02"</f>
        <v>02</v>
      </c>
      <c r="F11" s="16" t="s">
        <v>19</v>
      </c>
      <c r="G11" s="16">
        <v>79.5</v>
      </c>
      <c r="H11" s="22">
        <v>66.25</v>
      </c>
      <c r="I11" s="16">
        <v>98.6</v>
      </c>
      <c r="J11" s="22">
        <v>82.1666666666667</v>
      </c>
      <c r="K11" s="16"/>
      <c r="L11" s="23">
        <v>74.2083333333333</v>
      </c>
      <c r="M11" s="34">
        <v>83.68</v>
      </c>
      <c r="N11" s="34">
        <v>78</v>
      </c>
      <c r="O11" s="21"/>
    </row>
    <row r="12" spans="1:17" ht="24" customHeight="1">
      <c r="A12" s="13">
        <v>10</v>
      </c>
      <c r="B12" s="14" t="str">
        <f t="shared" si="0"/>
        <v>20240308</v>
      </c>
      <c r="C12" s="15" t="str">
        <f>"2420103022"</f>
        <v>2420103022</v>
      </c>
      <c r="D12" s="15" t="str">
        <f>"030"</f>
        <v>030</v>
      </c>
      <c r="E12" s="15" t="str">
        <f>"22"</f>
        <v>22</v>
      </c>
      <c r="F12" s="16" t="s">
        <v>19</v>
      </c>
      <c r="G12" s="16">
        <v>83</v>
      </c>
      <c r="H12" s="22">
        <v>69.1666666666667</v>
      </c>
      <c r="I12" s="16">
        <v>98.9</v>
      </c>
      <c r="J12" s="22">
        <v>82.4166666666667</v>
      </c>
      <c r="K12" s="16"/>
      <c r="L12" s="23">
        <v>75.7916666666667</v>
      </c>
      <c r="M12" s="34">
        <v>81.08</v>
      </c>
      <c r="N12" s="34">
        <v>77.91</v>
      </c>
      <c r="O12" s="21"/>
    </row>
    <row r="13" spans="1:17" ht="24" customHeight="1">
      <c r="A13" s="13">
        <v>11</v>
      </c>
      <c r="B13" s="14" t="str">
        <f t="shared" si="0"/>
        <v>20240308</v>
      </c>
      <c r="C13" s="15" t="str">
        <f>"2420104103"</f>
        <v>2420104103</v>
      </c>
      <c r="D13" s="15" t="str">
        <f>"041"</f>
        <v>041</v>
      </c>
      <c r="E13" s="15" t="str">
        <f>"03"</f>
        <v>03</v>
      </c>
      <c r="F13" s="16" t="s">
        <v>19</v>
      </c>
      <c r="G13" s="16">
        <v>85</v>
      </c>
      <c r="H13" s="22">
        <v>70.8333333333333</v>
      </c>
      <c r="I13" s="16">
        <v>95.6</v>
      </c>
      <c r="J13" s="22">
        <v>79.6666666666667</v>
      </c>
      <c r="K13" s="16"/>
      <c r="L13" s="23">
        <v>75.25</v>
      </c>
      <c r="M13" s="34">
        <v>81.040000000000006</v>
      </c>
      <c r="N13" s="34">
        <v>77.569999999999993</v>
      </c>
      <c r="O13" s="21"/>
    </row>
    <row r="14" spans="1:17" ht="24" customHeight="1">
      <c r="A14" s="13">
        <v>12</v>
      </c>
      <c r="B14" s="14" t="s">
        <v>20</v>
      </c>
      <c r="C14" s="15" t="s">
        <v>21</v>
      </c>
      <c r="D14" s="15" t="s">
        <v>22</v>
      </c>
      <c r="E14" s="15" t="s">
        <v>23</v>
      </c>
      <c r="F14" s="16" t="s">
        <v>19</v>
      </c>
      <c r="G14" s="16">
        <v>88</v>
      </c>
      <c r="H14" s="22">
        <v>73.3333333333333</v>
      </c>
      <c r="I14" s="16">
        <v>85.8</v>
      </c>
      <c r="J14" s="22">
        <v>71.5</v>
      </c>
      <c r="K14" s="16"/>
      <c r="L14" s="23">
        <v>72.4166666666667</v>
      </c>
      <c r="M14" s="34">
        <v>84.6</v>
      </c>
      <c r="N14" s="34">
        <v>77.290000000000006</v>
      </c>
      <c r="O14" s="21"/>
    </row>
    <row r="15" spans="1:17" ht="24" customHeight="1">
      <c r="A15" s="13">
        <v>13</v>
      </c>
      <c r="B15" s="14" t="str">
        <f>"20240308"</f>
        <v>20240308</v>
      </c>
      <c r="C15" s="15" t="str">
        <f>"2420103705"</f>
        <v>2420103705</v>
      </c>
      <c r="D15" s="15" t="str">
        <f>"037"</f>
        <v>037</v>
      </c>
      <c r="E15" s="15" t="str">
        <f>"05"</f>
        <v>05</v>
      </c>
      <c r="F15" s="16" t="s">
        <v>19</v>
      </c>
      <c r="G15" s="16">
        <v>87.5</v>
      </c>
      <c r="H15" s="22">
        <v>72.9166666666667</v>
      </c>
      <c r="I15" s="16">
        <v>86.9</v>
      </c>
      <c r="J15" s="22">
        <v>72.4166666666667</v>
      </c>
      <c r="K15" s="16"/>
      <c r="L15" s="23">
        <v>72.6666666666667</v>
      </c>
      <c r="M15" s="34">
        <v>84</v>
      </c>
      <c r="N15" s="34">
        <v>77.2</v>
      </c>
      <c r="O15" s="21"/>
    </row>
    <row r="16" spans="1:17" ht="24" customHeight="1">
      <c r="A16" s="13">
        <v>14</v>
      </c>
      <c r="B16" s="14" t="str">
        <f>"20240308"</f>
        <v>20240308</v>
      </c>
      <c r="C16" s="15" t="str">
        <f>"2420103805"</f>
        <v>2420103805</v>
      </c>
      <c r="D16" s="15" t="str">
        <f>"038"</f>
        <v>038</v>
      </c>
      <c r="E16" s="15" t="str">
        <f>"05"</f>
        <v>05</v>
      </c>
      <c r="F16" s="16" t="s">
        <v>19</v>
      </c>
      <c r="G16" s="16">
        <v>84.5</v>
      </c>
      <c r="H16" s="22">
        <v>70.4166666666667</v>
      </c>
      <c r="I16" s="16">
        <v>91.5</v>
      </c>
      <c r="J16" s="22">
        <v>76.25</v>
      </c>
      <c r="K16" s="16"/>
      <c r="L16" s="23">
        <v>73.3333333333333</v>
      </c>
      <c r="M16" s="34">
        <v>82.78</v>
      </c>
      <c r="N16" s="34">
        <v>77.11</v>
      </c>
      <c r="O16" s="21"/>
    </row>
    <row r="17" spans="1:15" ht="24" customHeight="1">
      <c r="A17" s="13">
        <v>15</v>
      </c>
      <c r="B17" s="14" t="str">
        <f>"20240308"</f>
        <v>20240308</v>
      </c>
      <c r="C17" s="15" t="str">
        <f>"2420103712"</f>
        <v>2420103712</v>
      </c>
      <c r="D17" s="15" t="str">
        <f>"037"</f>
        <v>037</v>
      </c>
      <c r="E17" s="15" t="str">
        <f>"12"</f>
        <v>12</v>
      </c>
      <c r="F17" s="16" t="s">
        <v>19</v>
      </c>
      <c r="G17" s="16">
        <v>90.5</v>
      </c>
      <c r="H17" s="22">
        <v>75.4166666666667</v>
      </c>
      <c r="I17" s="16">
        <v>89.3</v>
      </c>
      <c r="J17" s="22">
        <v>74.4166666666667</v>
      </c>
      <c r="K17" s="16"/>
      <c r="L17" s="23">
        <v>74.9166666666667</v>
      </c>
      <c r="M17" s="34">
        <v>78.88</v>
      </c>
      <c r="N17" s="34">
        <v>76.5</v>
      </c>
      <c r="O17" s="21"/>
    </row>
    <row r="18" spans="1:15" ht="24" customHeight="1">
      <c r="A18" s="13">
        <v>16</v>
      </c>
      <c r="B18" s="14" t="s">
        <v>20</v>
      </c>
      <c r="C18" s="15" t="s">
        <v>24</v>
      </c>
      <c r="D18" s="15" t="s">
        <v>25</v>
      </c>
      <c r="E18" s="15" t="s">
        <v>12</v>
      </c>
      <c r="F18" s="16" t="s">
        <v>19</v>
      </c>
      <c r="G18" s="16">
        <v>95</v>
      </c>
      <c r="H18" s="22">
        <v>79.1666666666667</v>
      </c>
      <c r="I18" s="16">
        <v>78</v>
      </c>
      <c r="J18" s="22">
        <v>65</v>
      </c>
      <c r="K18" s="16"/>
      <c r="L18" s="23">
        <v>72.0833333333333</v>
      </c>
      <c r="M18" s="34">
        <v>81.58</v>
      </c>
      <c r="N18" s="34">
        <v>75.88</v>
      </c>
      <c r="O18" s="21"/>
    </row>
    <row r="19" spans="1:15" ht="24" customHeight="1">
      <c r="A19" s="13">
        <v>17</v>
      </c>
      <c r="B19" s="14" t="s">
        <v>20</v>
      </c>
      <c r="C19" s="15" t="s">
        <v>26</v>
      </c>
      <c r="D19" s="15" t="s">
        <v>27</v>
      </c>
      <c r="E19" s="15" t="s">
        <v>28</v>
      </c>
      <c r="F19" s="16" t="s">
        <v>19</v>
      </c>
      <c r="G19" s="16">
        <v>68</v>
      </c>
      <c r="H19" s="22">
        <v>56.6666666666667</v>
      </c>
      <c r="I19" s="16">
        <v>104.2</v>
      </c>
      <c r="J19" s="22">
        <v>86.8333333333333</v>
      </c>
      <c r="K19" s="16"/>
      <c r="L19" s="23">
        <v>71.75</v>
      </c>
      <c r="M19" s="34">
        <v>80.5</v>
      </c>
      <c r="N19" s="34">
        <v>75.25</v>
      </c>
      <c r="O19" s="21"/>
    </row>
    <row r="20" spans="1:15" s="3" customFormat="1" ht="24" customHeight="1">
      <c r="A20" s="13">
        <v>18</v>
      </c>
      <c r="B20" s="15" t="str">
        <f>"20240308"</f>
        <v>20240308</v>
      </c>
      <c r="C20" s="15" t="str">
        <f>"2420103001"</f>
        <v>2420103001</v>
      </c>
      <c r="D20" s="15" t="str">
        <f>"030"</f>
        <v>030</v>
      </c>
      <c r="E20" s="15" t="str">
        <f>"01"</f>
        <v>01</v>
      </c>
      <c r="F20" s="16" t="s">
        <v>19</v>
      </c>
      <c r="G20" s="16">
        <v>85.5</v>
      </c>
      <c r="H20" s="22">
        <v>71.25</v>
      </c>
      <c r="I20" s="16">
        <v>95.1</v>
      </c>
      <c r="J20" s="22">
        <v>79.25</v>
      </c>
      <c r="K20" s="16"/>
      <c r="L20" s="23">
        <v>75.25</v>
      </c>
      <c r="M20" s="39" t="s">
        <v>95</v>
      </c>
      <c r="N20" s="34">
        <v>45.15</v>
      </c>
      <c r="O20" s="21"/>
    </row>
    <row r="21" spans="1:15" s="3" customFormat="1" ht="24" customHeight="1">
      <c r="A21" s="13">
        <v>19</v>
      </c>
      <c r="B21" s="15" t="str">
        <f>"20240308"</f>
        <v>20240308</v>
      </c>
      <c r="C21" s="15" t="str">
        <f>"2420104212"</f>
        <v>2420104212</v>
      </c>
      <c r="D21" s="15" t="str">
        <f>"042"</f>
        <v>042</v>
      </c>
      <c r="E21" s="15" t="str">
        <f>"12"</f>
        <v>12</v>
      </c>
      <c r="F21" s="16" t="s">
        <v>19</v>
      </c>
      <c r="G21" s="16">
        <v>98</v>
      </c>
      <c r="H21" s="22">
        <v>81.6666666666667</v>
      </c>
      <c r="I21" s="16">
        <v>80.3</v>
      </c>
      <c r="J21" s="22">
        <v>66.9166666666667</v>
      </c>
      <c r="K21" s="16"/>
      <c r="L21" s="23">
        <v>74.2916666666667</v>
      </c>
      <c r="M21" s="39" t="s">
        <v>95</v>
      </c>
      <c r="N21" s="34">
        <v>44.58</v>
      </c>
      <c r="O21" s="21"/>
    </row>
    <row r="22" spans="1:15" s="3" customFormat="1" ht="24" customHeight="1">
      <c r="A22" s="13">
        <v>20</v>
      </c>
      <c r="B22" s="15" t="str">
        <f>"20240308"</f>
        <v>20240308</v>
      </c>
      <c r="C22" s="15" t="str">
        <f>"2420104006"</f>
        <v>2420104006</v>
      </c>
      <c r="D22" s="15" t="str">
        <f>"040"</f>
        <v>040</v>
      </c>
      <c r="E22" s="15" t="str">
        <f>"06"</f>
        <v>06</v>
      </c>
      <c r="F22" s="16" t="s">
        <v>19</v>
      </c>
      <c r="G22" s="16">
        <v>87</v>
      </c>
      <c r="H22" s="22">
        <v>72.5</v>
      </c>
      <c r="I22" s="16">
        <v>91</v>
      </c>
      <c r="J22" s="22">
        <v>75.8333333333333</v>
      </c>
      <c r="K22" s="16"/>
      <c r="L22" s="23">
        <v>74.1666666666667</v>
      </c>
      <c r="M22" s="39" t="s">
        <v>95</v>
      </c>
      <c r="N22" s="34">
        <v>44.5</v>
      </c>
      <c r="O22" s="21"/>
    </row>
    <row r="23" spans="1:15" s="3" customFormat="1" ht="24" customHeight="1">
      <c r="A23" s="13">
        <v>21</v>
      </c>
      <c r="B23" s="15" t="s">
        <v>20</v>
      </c>
      <c r="C23" s="15" t="s">
        <v>29</v>
      </c>
      <c r="D23" s="15" t="s">
        <v>30</v>
      </c>
      <c r="E23" s="15" t="s">
        <v>31</v>
      </c>
      <c r="F23" s="16" t="s">
        <v>19</v>
      </c>
      <c r="G23" s="16">
        <v>89.5</v>
      </c>
      <c r="H23" s="22">
        <v>74.5833333333333</v>
      </c>
      <c r="I23" s="16">
        <v>82.7</v>
      </c>
      <c r="J23" s="22">
        <v>68.9166666666667</v>
      </c>
      <c r="K23" s="16"/>
      <c r="L23" s="23">
        <v>71.75</v>
      </c>
      <c r="M23" s="39" t="s">
        <v>95</v>
      </c>
      <c r="N23" s="34">
        <v>43.05</v>
      </c>
      <c r="O23" s="21"/>
    </row>
    <row r="24" spans="1:15" ht="24" customHeight="1">
      <c r="A24" s="9">
        <v>1</v>
      </c>
      <c r="B24" s="10" t="str">
        <f t="shared" ref="B24:B31" si="1">"20240310"</f>
        <v>20240310</v>
      </c>
      <c r="C24" s="11" t="str">
        <f>"2420106607"</f>
        <v>2420106607</v>
      </c>
      <c r="D24" s="11" t="str">
        <f>"066"</f>
        <v>066</v>
      </c>
      <c r="E24" s="11" t="str">
        <f>"07"</f>
        <v>07</v>
      </c>
      <c r="F24" s="12" t="s">
        <v>33</v>
      </c>
      <c r="G24" s="12">
        <v>93.5</v>
      </c>
      <c r="H24" s="19">
        <v>77.9166666666667</v>
      </c>
      <c r="I24" s="12">
        <v>114.5</v>
      </c>
      <c r="J24" s="19">
        <v>95.4166666666667</v>
      </c>
      <c r="K24" s="12"/>
      <c r="L24" s="20">
        <v>86.6666666666667</v>
      </c>
      <c r="M24" s="35">
        <v>77.400000000000006</v>
      </c>
      <c r="N24" s="35">
        <v>82.96</v>
      </c>
      <c r="O24" s="21"/>
    </row>
    <row r="25" spans="1:15" ht="24" customHeight="1">
      <c r="A25" s="9">
        <v>2</v>
      </c>
      <c r="B25" s="10" t="str">
        <f t="shared" si="1"/>
        <v>20240310</v>
      </c>
      <c r="C25" s="11" t="str">
        <f>"2420107217"</f>
        <v>2420107217</v>
      </c>
      <c r="D25" s="11" t="str">
        <f>"072"</f>
        <v>072</v>
      </c>
      <c r="E25" s="11" t="str">
        <f>"17"</f>
        <v>17</v>
      </c>
      <c r="F25" s="12" t="s">
        <v>33</v>
      </c>
      <c r="G25" s="12">
        <v>87.5</v>
      </c>
      <c r="H25" s="19">
        <v>72.9166666666667</v>
      </c>
      <c r="I25" s="12">
        <v>114</v>
      </c>
      <c r="J25" s="19">
        <v>95</v>
      </c>
      <c r="K25" s="12"/>
      <c r="L25" s="20">
        <v>83.9583333333333</v>
      </c>
      <c r="M25" s="35">
        <v>78</v>
      </c>
      <c r="N25" s="35">
        <v>81.58</v>
      </c>
      <c r="O25" s="21"/>
    </row>
    <row r="26" spans="1:15" ht="24" customHeight="1">
      <c r="A26" s="9">
        <v>3</v>
      </c>
      <c r="B26" s="10" t="str">
        <f t="shared" si="1"/>
        <v>20240310</v>
      </c>
      <c r="C26" s="11" t="str">
        <f>"2420106911"</f>
        <v>2420106911</v>
      </c>
      <c r="D26" s="11" t="str">
        <f>"069"</f>
        <v>069</v>
      </c>
      <c r="E26" s="11" t="str">
        <f>"11"</f>
        <v>11</v>
      </c>
      <c r="F26" s="12" t="s">
        <v>33</v>
      </c>
      <c r="G26" s="12">
        <v>103.5</v>
      </c>
      <c r="H26" s="19">
        <v>86.25</v>
      </c>
      <c r="I26" s="12">
        <v>96.5</v>
      </c>
      <c r="J26" s="19">
        <v>80.4166666666667</v>
      </c>
      <c r="K26" s="12"/>
      <c r="L26" s="20">
        <v>83.3333333333333</v>
      </c>
      <c r="M26" s="35">
        <v>77.8</v>
      </c>
      <c r="N26" s="35">
        <v>81.12</v>
      </c>
      <c r="O26" s="21"/>
    </row>
    <row r="27" spans="1:15" ht="24" customHeight="1">
      <c r="A27" s="9">
        <v>4</v>
      </c>
      <c r="B27" s="10" t="str">
        <f t="shared" si="1"/>
        <v>20240310</v>
      </c>
      <c r="C27" s="11" t="str">
        <f>"2420107102"</f>
        <v>2420107102</v>
      </c>
      <c r="D27" s="11" t="str">
        <f>"071"</f>
        <v>071</v>
      </c>
      <c r="E27" s="11" t="str">
        <f>"02"</f>
        <v>02</v>
      </c>
      <c r="F27" s="12" t="s">
        <v>33</v>
      </c>
      <c r="G27" s="12">
        <v>93</v>
      </c>
      <c r="H27" s="19">
        <v>77.5</v>
      </c>
      <c r="I27" s="12">
        <v>109.5</v>
      </c>
      <c r="J27" s="19">
        <v>91.25</v>
      </c>
      <c r="K27" s="12"/>
      <c r="L27" s="20">
        <v>84.375</v>
      </c>
      <c r="M27" s="35">
        <v>76.2</v>
      </c>
      <c r="N27" s="35">
        <v>81.11</v>
      </c>
      <c r="O27" s="21"/>
    </row>
    <row r="28" spans="1:15" ht="24" customHeight="1">
      <c r="A28" s="9">
        <v>5</v>
      </c>
      <c r="B28" s="10" t="str">
        <f t="shared" si="1"/>
        <v>20240310</v>
      </c>
      <c r="C28" s="11" t="str">
        <f>"2420106622"</f>
        <v>2420106622</v>
      </c>
      <c r="D28" s="11" t="str">
        <f>"066"</f>
        <v>066</v>
      </c>
      <c r="E28" s="11" t="str">
        <f>"22"</f>
        <v>22</v>
      </c>
      <c r="F28" s="12" t="s">
        <v>33</v>
      </c>
      <c r="G28" s="12">
        <v>100</v>
      </c>
      <c r="H28" s="19">
        <v>83.3333333333333</v>
      </c>
      <c r="I28" s="12">
        <v>106</v>
      </c>
      <c r="J28" s="19">
        <v>88.3333333333333</v>
      </c>
      <c r="K28" s="12"/>
      <c r="L28" s="20">
        <v>85.8333333333333</v>
      </c>
      <c r="M28" s="35">
        <v>73.400000000000006</v>
      </c>
      <c r="N28" s="35">
        <v>80.86</v>
      </c>
      <c r="O28" s="21"/>
    </row>
    <row r="29" spans="1:15" ht="24" customHeight="1">
      <c r="A29" s="9">
        <v>6</v>
      </c>
      <c r="B29" s="10" t="str">
        <f t="shared" si="1"/>
        <v>20240310</v>
      </c>
      <c r="C29" s="11" t="str">
        <f>"2420107120"</f>
        <v>2420107120</v>
      </c>
      <c r="D29" s="11" t="str">
        <f>"071"</f>
        <v>071</v>
      </c>
      <c r="E29" s="11" t="str">
        <f>"20"</f>
        <v>20</v>
      </c>
      <c r="F29" s="12" t="s">
        <v>33</v>
      </c>
      <c r="G29" s="12">
        <v>94</v>
      </c>
      <c r="H29" s="19">
        <v>78.3333333333333</v>
      </c>
      <c r="I29" s="12">
        <v>109.5</v>
      </c>
      <c r="J29" s="19">
        <v>91.25</v>
      </c>
      <c r="K29" s="12"/>
      <c r="L29" s="20">
        <v>84.7916666666667</v>
      </c>
      <c r="M29" s="35">
        <v>74</v>
      </c>
      <c r="N29" s="35">
        <v>80.48</v>
      </c>
      <c r="O29" s="21"/>
    </row>
    <row r="30" spans="1:15" ht="24" customHeight="1">
      <c r="A30" s="9">
        <v>7</v>
      </c>
      <c r="B30" s="10" t="str">
        <f t="shared" si="1"/>
        <v>20240310</v>
      </c>
      <c r="C30" s="11" t="str">
        <f>"2420107026"</f>
        <v>2420107026</v>
      </c>
      <c r="D30" s="11" t="str">
        <f>"070"</f>
        <v>070</v>
      </c>
      <c r="E30" s="11" t="str">
        <f>"26"</f>
        <v>26</v>
      </c>
      <c r="F30" s="12" t="s">
        <v>33</v>
      </c>
      <c r="G30" s="12">
        <v>93.5</v>
      </c>
      <c r="H30" s="19">
        <v>77.9166666666667</v>
      </c>
      <c r="I30" s="12">
        <v>114</v>
      </c>
      <c r="J30" s="19">
        <v>95</v>
      </c>
      <c r="K30" s="12"/>
      <c r="L30" s="20">
        <v>86.4583333333333</v>
      </c>
      <c r="M30" s="35">
        <v>71.400000000000006</v>
      </c>
      <c r="N30" s="35">
        <v>80.44</v>
      </c>
      <c r="O30" s="21"/>
    </row>
    <row r="31" spans="1:15" ht="24" customHeight="1">
      <c r="A31" s="9">
        <v>8</v>
      </c>
      <c r="B31" s="10" t="str">
        <f t="shared" si="1"/>
        <v>20240310</v>
      </c>
      <c r="C31" s="11" t="str">
        <f>"2420106730"</f>
        <v>2420106730</v>
      </c>
      <c r="D31" s="11" t="str">
        <f>"067"</f>
        <v>067</v>
      </c>
      <c r="E31" s="11" t="str">
        <f>"30"</f>
        <v>30</v>
      </c>
      <c r="F31" s="12" t="s">
        <v>33</v>
      </c>
      <c r="G31" s="12">
        <v>89.5</v>
      </c>
      <c r="H31" s="19">
        <v>74.5833333333333</v>
      </c>
      <c r="I31" s="12">
        <v>114.5</v>
      </c>
      <c r="J31" s="19">
        <v>95.4166666666667</v>
      </c>
      <c r="K31" s="12"/>
      <c r="L31" s="20">
        <v>85</v>
      </c>
      <c r="M31" s="35">
        <v>73.400000000000006</v>
      </c>
      <c r="N31" s="35">
        <v>80.36</v>
      </c>
      <c r="O31" s="21"/>
    </row>
    <row r="32" spans="1:15" ht="24" customHeight="1">
      <c r="A32" s="9">
        <v>9</v>
      </c>
      <c r="B32" s="10" t="s">
        <v>34</v>
      </c>
      <c r="C32" s="11" t="s">
        <v>38</v>
      </c>
      <c r="D32" s="11" t="s">
        <v>39</v>
      </c>
      <c r="E32" s="11" t="s">
        <v>40</v>
      </c>
      <c r="F32" s="12" t="s">
        <v>33</v>
      </c>
      <c r="G32" s="12">
        <v>86</v>
      </c>
      <c r="H32" s="19">
        <v>71.6666666666667</v>
      </c>
      <c r="I32" s="12">
        <v>113.5</v>
      </c>
      <c r="J32" s="19">
        <v>94.5833333333333</v>
      </c>
      <c r="K32" s="12"/>
      <c r="L32" s="20">
        <v>83.125</v>
      </c>
      <c r="M32" s="35">
        <v>75</v>
      </c>
      <c r="N32" s="35">
        <v>79.88</v>
      </c>
      <c r="O32" s="21"/>
    </row>
    <row r="33" spans="1:15" ht="24" customHeight="1">
      <c r="A33" s="9">
        <v>10</v>
      </c>
      <c r="B33" s="10" t="str">
        <f>"20240310"</f>
        <v>20240310</v>
      </c>
      <c r="C33" s="11" t="str">
        <f>"2420106807"</f>
        <v>2420106807</v>
      </c>
      <c r="D33" s="11" t="str">
        <f>"068"</f>
        <v>068</v>
      </c>
      <c r="E33" s="11" t="str">
        <f>"07"</f>
        <v>07</v>
      </c>
      <c r="F33" s="12" t="s">
        <v>33</v>
      </c>
      <c r="G33" s="12">
        <v>95.5</v>
      </c>
      <c r="H33" s="19">
        <v>79.5833333333333</v>
      </c>
      <c r="I33" s="12">
        <v>110.5</v>
      </c>
      <c r="J33" s="19">
        <v>92.0833333333333</v>
      </c>
      <c r="K33" s="12"/>
      <c r="L33" s="20">
        <v>85.8333333333333</v>
      </c>
      <c r="M33" s="35">
        <v>70.2</v>
      </c>
      <c r="N33" s="35">
        <v>79.58</v>
      </c>
      <c r="O33" s="21"/>
    </row>
    <row r="34" spans="1:15" ht="24" customHeight="1">
      <c r="A34" s="9">
        <v>11</v>
      </c>
      <c r="B34" s="10" t="str">
        <f>"20240310"</f>
        <v>20240310</v>
      </c>
      <c r="C34" s="11" t="str">
        <f>"2420107020"</f>
        <v>2420107020</v>
      </c>
      <c r="D34" s="11" t="str">
        <f>"070"</f>
        <v>070</v>
      </c>
      <c r="E34" s="11" t="str">
        <f>"20"</f>
        <v>20</v>
      </c>
      <c r="F34" s="12" t="s">
        <v>33</v>
      </c>
      <c r="G34" s="12">
        <v>96.5</v>
      </c>
      <c r="H34" s="19">
        <v>80.4166666666667</v>
      </c>
      <c r="I34" s="12">
        <v>103.5</v>
      </c>
      <c r="J34" s="19">
        <v>86.25</v>
      </c>
      <c r="K34" s="12"/>
      <c r="L34" s="20">
        <v>83.3333333333333</v>
      </c>
      <c r="M34" s="35">
        <v>73.400000000000006</v>
      </c>
      <c r="N34" s="35">
        <v>79.36</v>
      </c>
      <c r="O34" s="21"/>
    </row>
    <row r="35" spans="1:15" ht="24" customHeight="1">
      <c r="A35" s="9">
        <v>12</v>
      </c>
      <c r="B35" s="10" t="str">
        <f>"20240310"</f>
        <v>20240310</v>
      </c>
      <c r="C35" s="11" t="str">
        <f>"2420106616"</f>
        <v>2420106616</v>
      </c>
      <c r="D35" s="11" t="str">
        <f>"066"</f>
        <v>066</v>
      </c>
      <c r="E35" s="11" t="str">
        <f>"16"</f>
        <v>16</v>
      </c>
      <c r="F35" s="12" t="s">
        <v>33</v>
      </c>
      <c r="G35" s="12">
        <v>98</v>
      </c>
      <c r="H35" s="19">
        <v>81.6666666666667</v>
      </c>
      <c r="I35" s="12">
        <v>106</v>
      </c>
      <c r="J35" s="19">
        <v>88.3333333333333</v>
      </c>
      <c r="K35" s="12"/>
      <c r="L35" s="20">
        <v>85</v>
      </c>
      <c r="M35" s="35">
        <v>70.599999999999994</v>
      </c>
      <c r="N35" s="35">
        <v>79.239999999999995</v>
      </c>
      <c r="O35" s="21"/>
    </row>
    <row r="36" spans="1:15" ht="24" customHeight="1">
      <c r="A36" s="9">
        <v>13</v>
      </c>
      <c r="B36" s="10" t="s">
        <v>34</v>
      </c>
      <c r="C36" s="11" t="s">
        <v>35</v>
      </c>
      <c r="D36" s="11" t="s">
        <v>36</v>
      </c>
      <c r="E36" s="11" t="s">
        <v>37</v>
      </c>
      <c r="F36" s="12" t="s">
        <v>33</v>
      </c>
      <c r="G36" s="12">
        <v>87</v>
      </c>
      <c r="H36" s="19">
        <v>72.5</v>
      </c>
      <c r="I36" s="12">
        <v>112.5</v>
      </c>
      <c r="J36" s="19">
        <v>93.75</v>
      </c>
      <c r="K36" s="12"/>
      <c r="L36" s="20">
        <v>83.125</v>
      </c>
      <c r="M36" s="35">
        <v>72.2</v>
      </c>
      <c r="N36" s="35">
        <v>78.760000000000005</v>
      </c>
      <c r="O36" s="21"/>
    </row>
    <row r="37" spans="1:15" ht="24" customHeight="1">
      <c r="A37" s="9">
        <v>14</v>
      </c>
      <c r="B37" s="10" t="str">
        <f>"20240310"</f>
        <v>20240310</v>
      </c>
      <c r="C37" s="11" t="str">
        <f>"2420106202"</f>
        <v>2420106202</v>
      </c>
      <c r="D37" s="11" t="str">
        <f>"062"</f>
        <v>062</v>
      </c>
      <c r="E37" s="11" t="str">
        <f>"02"</f>
        <v>02</v>
      </c>
      <c r="F37" s="12" t="s">
        <v>33</v>
      </c>
      <c r="G37" s="12">
        <v>89</v>
      </c>
      <c r="H37" s="19">
        <v>74.1666666666667</v>
      </c>
      <c r="I37" s="12">
        <v>111</v>
      </c>
      <c r="J37" s="19">
        <v>92.5</v>
      </c>
      <c r="K37" s="12"/>
      <c r="L37" s="20">
        <v>83.3333333333333</v>
      </c>
      <c r="M37" s="35">
        <v>71.2</v>
      </c>
      <c r="N37" s="35">
        <v>78.48</v>
      </c>
      <c r="O37" s="21"/>
    </row>
    <row r="38" spans="1:15" ht="24" customHeight="1">
      <c r="A38" s="9">
        <v>15</v>
      </c>
      <c r="B38" s="10" t="str">
        <f>"20240310"</f>
        <v>20240310</v>
      </c>
      <c r="C38" s="11" t="str">
        <f>"2420107117"</f>
        <v>2420107117</v>
      </c>
      <c r="D38" s="11" t="str">
        <f>"071"</f>
        <v>071</v>
      </c>
      <c r="E38" s="11" t="str">
        <f>"17"</f>
        <v>17</v>
      </c>
      <c r="F38" s="12" t="s">
        <v>33</v>
      </c>
      <c r="G38" s="12">
        <v>94</v>
      </c>
      <c r="H38" s="19">
        <v>78.3333333333333</v>
      </c>
      <c r="I38" s="12">
        <v>106.5</v>
      </c>
      <c r="J38" s="19">
        <v>88.75</v>
      </c>
      <c r="K38" s="12"/>
      <c r="L38" s="20">
        <v>83.5416666666667</v>
      </c>
      <c r="M38" s="35">
        <v>70.400000000000006</v>
      </c>
      <c r="N38" s="35">
        <v>78.290000000000006</v>
      </c>
      <c r="O38" s="21"/>
    </row>
    <row r="39" spans="1:15" ht="24" customHeight="1">
      <c r="A39" s="9">
        <v>16</v>
      </c>
      <c r="B39" s="10" t="str">
        <f>"20240310"</f>
        <v>20240310</v>
      </c>
      <c r="C39" s="11" t="str">
        <f>"2420106406"</f>
        <v>2420106406</v>
      </c>
      <c r="D39" s="11" t="str">
        <f>"064"</f>
        <v>064</v>
      </c>
      <c r="E39" s="11" t="str">
        <f>"06"</f>
        <v>06</v>
      </c>
      <c r="F39" s="12" t="s">
        <v>33</v>
      </c>
      <c r="G39" s="12">
        <v>93.5</v>
      </c>
      <c r="H39" s="19">
        <v>77.9166666666667</v>
      </c>
      <c r="I39" s="12">
        <v>109.5</v>
      </c>
      <c r="J39" s="19">
        <v>91.25</v>
      </c>
      <c r="K39" s="12"/>
      <c r="L39" s="20">
        <v>84.5833333333333</v>
      </c>
      <c r="M39" s="35">
        <v>60.2</v>
      </c>
      <c r="N39" s="35">
        <v>74.83</v>
      </c>
      <c r="O39" s="21"/>
    </row>
    <row r="40" spans="1:15" s="3" customFormat="1" ht="24" customHeight="1">
      <c r="A40" s="9">
        <v>17</v>
      </c>
      <c r="B40" s="11" t="str">
        <f>"20240310"</f>
        <v>20240310</v>
      </c>
      <c r="C40" s="11" t="str">
        <f>"2420106825"</f>
        <v>2420106825</v>
      </c>
      <c r="D40" s="11" t="str">
        <f>"068"</f>
        <v>068</v>
      </c>
      <c r="E40" s="11" t="str">
        <f>"25"</f>
        <v>25</v>
      </c>
      <c r="F40" s="12" t="s">
        <v>33</v>
      </c>
      <c r="G40" s="12">
        <v>97</v>
      </c>
      <c r="H40" s="19">
        <v>80.8333333333333</v>
      </c>
      <c r="I40" s="12">
        <v>111.5</v>
      </c>
      <c r="J40" s="19">
        <v>92.9166666666667</v>
      </c>
      <c r="K40" s="12"/>
      <c r="L40" s="20">
        <v>86.875</v>
      </c>
      <c r="M40" s="40" t="s">
        <v>95</v>
      </c>
      <c r="N40" s="35">
        <v>52.13</v>
      </c>
      <c r="O40" s="21"/>
    </row>
    <row r="41" spans="1:15" s="3" customFormat="1" ht="24" customHeight="1">
      <c r="A41" s="9">
        <v>18</v>
      </c>
      <c r="B41" s="11" t="str">
        <f>"20240310"</f>
        <v>20240310</v>
      </c>
      <c r="C41" s="11" t="str">
        <f>"2420107112"</f>
        <v>2420107112</v>
      </c>
      <c r="D41" s="11" t="str">
        <f>"071"</f>
        <v>071</v>
      </c>
      <c r="E41" s="11" t="str">
        <f>"12"</f>
        <v>12</v>
      </c>
      <c r="F41" s="12" t="s">
        <v>33</v>
      </c>
      <c r="G41" s="12">
        <v>98.5</v>
      </c>
      <c r="H41" s="19">
        <v>82.0833333333333</v>
      </c>
      <c r="I41" s="12">
        <v>105.5</v>
      </c>
      <c r="J41" s="19">
        <v>87.9166666666667</v>
      </c>
      <c r="K41" s="12"/>
      <c r="L41" s="20">
        <v>85</v>
      </c>
      <c r="M41" s="40" t="s">
        <v>95</v>
      </c>
      <c r="N41" s="35">
        <v>51</v>
      </c>
      <c r="O41" s="21"/>
    </row>
    <row r="42" spans="1:15" ht="24" customHeight="1">
      <c r="A42" s="2">
        <v>1</v>
      </c>
      <c r="B42" s="6" t="str">
        <f t="shared" ref="B42:B53" si="2">"20240311"</f>
        <v>20240311</v>
      </c>
      <c r="C42" s="7" t="str">
        <f>"2420107530"</f>
        <v>2420107530</v>
      </c>
      <c r="D42" s="7" t="str">
        <f>"075"</f>
        <v>075</v>
      </c>
      <c r="E42" s="7" t="str">
        <f>"30"</f>
        <v>30</v>
      </c>
      <c r="F42" s="8" t="s">
        <v>41</v>
      </c>
      <c r="G42" s="8">
        <v>94</v>
      </c>
      <c r="H42" s="18">
        <v>78.3333333333333</v>
      </c>
      <c r="I42" s="8">
        <v>114.5</v>
      </c>
      <c r="J42" s="18">
        <v>95.4166666666667</v>
      </c>
      <c r="K42" s="8"/>
      <c r="L42" s="27">
        <v>86.875</v>
      </c>
      <c r="M42" s="36">
        <v>83.1</v>
      </c>
      <c r="N42" s="34">
        <v>85.37</v>
      </c>
      <c r="O42" s="21"/>
    </row>
    <row r="43" spans="1:15" ht="24" customHeight="1">
      <c r="A43" s="2">
        <v>2</v>
      </c>
      <c r="B43" s="6" t="str">
        <f t="shared" si="2"/>
        <v>20240311</v>
      </c>
      <c r="C43" s="7" t="str">
        <f>"2420107628"</f>
        <v>2420107628</v>
      </c>
      <c r="D43" s="7" t="str">
        <f>"076"</f>
        <v>076</v>
      </c>
      <c r="E43" s="7" t="str">
        <f>"28"</f>
        <v>28</v>
      </c>
      <c r="F43" s="8" t="s">
        <v>41</v>
      </c>
      <c r="G43" s="8">
        <v>93.5</v>
      </c>
      <c r="H43" s="18">
        <v>77.9166666666667</v>
      </c>
      <c r="I43" s="8">
        <v>114</v>
      </c>
      <c r="J43" s="18">
        <v>95</v>
      </c>
      <c r="K43" s="8"/>
      <c r="L43" s="27">
        <v>86.4583333333333</v>
      </c>
      <c r="M43" s="36">
        <v>81</v>
      </c>
      <c r="N43" s="34">
        <v>84.28</v>
      </c>
      <c r="O43" s="21"/>
    </row>
    <row r="44" spans="1:15" ht="24" customHeight="1">
      <c r="A44" s="2">
        <v>3</v>
      </c>
      <c r="B44" s="6" t="str">
        <f t="shared" si="2"/>
        <v>20240311</v>
      </c>
      <c r="C44" s="7" t="str">
        <f>"2420107905"</f>
        <v>2420107905</v>
      </c>
      <c r="D44" s="7" t="str">
        <f>"079"</f>
        <v>079</v>
      </c>
      <c r="E44" s="7" t="str">
        <f>"05"</f>
        <v>05</v>
      </c>
      <c r="F44" s="8" t="s">
        <v>41</v>
      </c>
      <c r="G44" s="8">
        <v>87.5</v>
      </c>
      <c r="H44" s="18">
        <v>72.9166666666667</v>
      </c>
      <c r="I44" s="8">
        <v>114</v>
      </c>
      <c r="J44" s="18">
        <v>95</v>
      </c>
      <c r="K44" s="8"/>
      <c r="L44" s="27">
        <v>83.9583333333333</v>
      </c>
      <c r="M44" s="36">
        <v>84.7</v>
      </c>
      <c r="N44" s="34">
        <v>84.26</v>
      </c>
      <c r="O44" s="21"/>
    </row>
    <row r="45" spans="1:15" ht="24" customHeight="1">
      <c r="A45" s="2">
        <v>4</v>
      </c>
      <c r="B45" s="6" t="str">
        <f t="shared" si="2"/>
        <v>20240311</v>
      </c>
      <c r="C45" s="7" t="str">
        <f>"2420108503"</f>
        <v>2420108503</v>
      </c>
      <c r="D45" s="7" t="str">
        <f>"085"</f>
        <v>085</v>
      </c>
      <c r="E45" s="7" t="str">
        <f>"03"</f>
        <v>03</v>
      </c>
      <c r="F45" s="8" t="s">
        <v>41</v>
      </c>
      <c r="G45" s="8">
        <v>95.5</v>
      </c>
      <c r="H45" s="18">
        <v>79.5833333333333</v>
      </c>
      <c r="I45" s="8">
        <v>107.5</v>
      </c>
      <c r="J45" s="18">
        <v>89.5833333333333</v>
      </c>
      <c r="K45" s="8"/>
      <c r="L45" s="27">
        <v>84.5833333333333</v>
      </c>
      <c r="M45" s="36">
        <v>82.86</v>
      </c>
      <c r="N45" s="34">
        <v>83.89</v>
      </c>
      <c r="O45" s="21"/>
    </row>
    <row r="46" spans="1:15" ht="24" customHeight="1">
      <c r="A46" s="2">
        <v>5</v>
      </c>
      <c r="B46" s="6" t="str">
        <f t="shared" si="2"/>
        <v>20240311</v>
      </c>
      <c r="C46" s="7" t="str">
        <f>"2420107414"</f>
        <v>2420107414</v>
      </c>
      <c r="D46" s="7" t="str">
        <f>"074"</f>
        <v>074</v>
      </c>
      <c r="E46" s="7" t="str">
        <f>"14"</f>
        <v>14</v>
      </c>
      <c r="F46" s="8" t="s">
        <v>41</v>
      </c>
      <c r="G46" s="8">
        <v>96</v>
      </c>
      <c r="H46" s="18">
        <v>80</v>
      </c>
      <c r="I46" s="8">
        <v>111.5</v>
      </c>
      <c r="J46" s="18">
        <v>92.9166666666667</v>
      </c>
      <c r="K46" s="8"/>
      <c r="L46" s="27">
        <v>86.4583333333333</v>
      </c>
      <c r="M46" s="36">
        <v>78.52</v>
      </c>
      <c r="N46" s="34">
        <v>83.28</v>
      </c>
      <c r="O46" s="21"/>
    </row>
    <row r="47" spans="1:15" ht="24" customHeight="1">
      <c r="A47" s="2">
        <v>6</v>
      </c>
      <c r="B47" s="6" t="str">
        <f t="shared" si="2"/>
        <v>20240311</v>
      </c>
      <c r="C47" s="7" t="str">
        <f>"2420107304"</f>
        <v>2420107304</v>
      </c>
      <c r="D47" s="7" t="str">
        <f>"073"</f>
        <v>073</v>
      </c>
      <c r="E47" s="7" t="str">
        <f>"04"</f>
        <v>04</v>
      </c>
      <c r="F47" s="8" t="s">
        <v>41</v>
      </c>
      <c r="G47" s="8">
        <v>98</v>
      </c>
      <c r="H47" s="18">
        <v>81.6666666666667</v>
      </c>
      <c r="I47" s="8">
        <v>107</v>
      </c>
      <c r="J47" s="18">
        <v>89.1666666666667</v>
      </c>
      <c r="K47" s="8"/>
      <c r="L47" s="27">
        <v>85.4166666666667</v>
      </c>
      <c r="M47" s="36">
        <v>78.48</v>
      </c>
      <c r="N47" s="34">
        <v>82.64</v>
      </c>
      <c r="O47" s="21"/>
    </row>
    <row r="48" spans="1:15" ht="24" customHeight="1">
      <c r="A48" s="2">
        <v>7</v>
      </c>
      <c r="B48" s="6" t="str">
        <f t="shared" si="2"/>
        <v>20240311</v>
      </c>
      <c r="C48" s="7" t="str">
        <f>"2420107326"</f>
        <v>2420107326</v>
      </c>
      <c r="D48" s="7" t="str">
        <f>"073"</f>
        <v>073</v>
      </c>
      <c r="E48" s="7" t="str">
        <f>"26"</f>
        <v>26</v>
      </c>
      <c r="F48" s="8" t="s">
        <v>41</v>
      </c>
      <c r="G48" s="8">
        <v>89</v>
      </c>
      <c r="H48" s="18">
        <v>74.1666666666667</v>
      </c>
      <c r="I48" s="8">
        <v>110</v>
      </c>
      <c r="J48" s="18">
        <v>91.6666666666667</v>
      </c>
      <c r="K48" s="8"/>
      <c r="L48" s="27">
        <v>82.9166666666667</v>
      </c>
      <c r="M48" s="36">
        <v>80.86</v>
      </c>
      <c r="N48" s="34">
        <v>82.09</v>
      </c>
      <c r="O48" s="21"/>
    </row>
    <row r="49" spans="1:15" ht="24" customHeight="1">
      <c r="A49" s="2">
        <v>8</v>
      </c>
      <c r="B49" s="6" t="str">
        <f t="shared" si="2"/>
        <v>20240311</v>
      </c>
      <c r="C49" s="7" t="str">
        <f>"2420108329"</f>
        <v>2420108329</v>
      </c>
      <c r="D49" s="7" t="str">
        <f>"083"</f>
        <v>083</v>
      </c>
      <c r="E49" s="7" t="str">
        <f>"29"</f>
        <v>29</v>
      </c>
      <c r="F49" s="8" t="s">
        <v>41</v>
      </c>
      <c r="G49" s="8">
        <v>94</v>
      </c>
      <c r="H49" s="18">
        <v>78.3333333333333</v>
      </c>
      <c r="I49" s="8">
        <v>109.5</v>
      </c>
      <c r="J49" s="18">
        <v>91.25</v>
      </c>
      <c r="K49" s="8"/>
      <c r="L49" s="27">
        <v>84.7916666666667</v>
      </c>
      <c r="M49" s="36">
        <v>77.900000000000006</v>
      </c>
      <c r="N49" s="34">
        <v>82.04</v>
      </c>
      <c r="O49" s="21"/>
    </row>
    <row r="50" spans="1:15" ht="24" customHeight="1">
      <c r="A50" s="2">
        <v>9</v>
      </c>
      <c r="B50" s="6" t="str">
        <f t="shared" si="2"/>
        <v>20240311</v>
      </c>
      <c r="C50" s="7" t="str">
        <f>"2420108327"</f>
        <v>2420108327</v>
      </c>
      <c r="D50" s="7" t="str">
        <f>"083"</f>
        <v>083</v>
      </c>
      <c r="E50" s="7" t="str">
        <f>"27"</f>
        <v>27</v>
      </c>
      <c r="F50" s="8" t="s">
        <v>41</v>
      </c>
      <c r="G50" s="8">
        <v>88</v>
      </c>
      <c r="H50" s="18">
        <v>73.3333333333333</v>
      </c>
      <c r="I50" s="8">
        <v>111</v>
      </c>
      <c r="J50" s="18">
        <v>92.5</v>
      </c>
      <c r="K50" s="8"/>
      <c r="L50" s="27">
        <v>82.9166666666667</v>
      </c>
      <c r="M50" s="36">
        <v>80.680000000000007</v>
      </c>
      <c r="N50" s="34">
        <v>82.02</v>
      </c>
      <c r="O50" s="21"/>
    </row>
    <row r="51" spans="1:15" ht="24" customHeight="1">
      <c r="A51" s="2">
        <v>10</v>
      </c>
      <c r="B51" s="6" t="str">
        <f t="shared" si="2"/>
        <v>20240311</v>
      </c>
      <c r="C51" s="7" t="str">
        <f>"2420108508"</f>
        <v>2420108508</v>
      </c>
      <c r="D51" s="7" t="str">
        <f>"085"</f>
        <v>085</v>
      </c>
      <c r="E51" s="7" t="str">
        <f>"08"</f>
        <v>08</v>
      </c>
      <c r="F51" s="8" t="s">
        <v>41</v>
      </c>
      <c r="G51" s="8">
        <v>92.5</v>
      </c>
      <c r="H51" s="18">
        <v>77.0833333333333</v>
      </c>
      <c r="I51" s="8">
        <v>108.5</v>
      </c>
      <c r="J51" s="18">
        <v>90.4166666666667</v>
      </c>
      <c r="K51" s="8"/>
      <c r="L51" s="27">
        <v>83.75</v>
      </c>
      <c r="M51" s="36">
        <v>78.959999999999994</v>
      </c>
      <c r="N51" s="34">
        <v>81.83</v>
      </c>
      <c r="O51" s="21"/>
    </row>
    <row r="52" spans="1:15" ht="24" customHeight="1">
      <c r="A52" s="2">
        <v>11</v>
      </c>
      <c r="B52" s="6" t="str">
        <f t="shared" si="2"/>
        <v>20240311</v>
      </c>
      <c r="C52" s="7" t="str">
        <f>"2420108109"</f>
        <v>2420108109</v>
      </c>
      <c r="D52" s="7" t="str">
        <f>"081"</f>
        <v>081</v>
      </c>
      <c r="E52" s="7" t="str">
        <f>"09"</f>
        <v>09</v>
      </c>
      <c r="F52" s="8" t="s">
        <v>41</v>
      </c>
      <c r="G52" s="8">
        <v>89.5</v>
      </c>
      <c r="H52" s="18">
        <v>74.5833333333333</v>
      </c>
      <c r="I52" s="8">
        <v>110</v>
      </c>
      <c r="J52" s="18">
        <v>91.6666666666667</v>
      </c>
      <c r="K52" s="8"/>
      <c r="L52" s="27">
        <v>83.125</v>
      </c>
      <c r="M52" s="36">
        <v>79.099999999999994</v>
      </c>
      <c r="N52" s="34">
        <v>81.52</v>
      </c>
      <c r="O52" s="21"/>
    </row>
    <row r="53" spans="1:15" ht="24" customHeight="1">
      <c r="A53" s="2">
        <v>12</v>
      </c>
      <c r="B53" s="6" t="str">
        <f t="shared" si="2"/>
        <v>20240311</v>
      </c>
      <c r="C53" s="7" t="str">
        <f>"2420107918"</f>
        <v>2420107918</v>
      </c>
      <c r="D53" s="7" t="str">
        <f>"079"</f>
        <v>079</v>
      </c>
      <c r="E53" s="7" t="str">
        <f>"18"</f>
        <v>18</v>
      </c>
      <c r="F53" s="8" t="s">
        <v>41</v>
      </c>
      <c r="G53" s="8">
        <v>92.5</v>
      </c>
      <c r="H53" s="18">
        <v>77.0833333333333</v>
      </c>
      <c r="I53" s="8">
        <v>107</v>
      </c>
      <c r="J53" s="18">
        <v>89.1666666666667</v>
      </c>
      <c r="K53" s="8"/>
      <c r="L53" s="27">
        <v>83.125</v>
      </c>
      <c r="M53" s="36">
        <v>76.12</v>
      </c>
      <c r="N53" s="34">
        <v>80.319999999999993</v>
      </c>
      <c r="O53" s="21"/>
    </row>
    <row r="54" spans="1:15" ht="24" customHeight="1">
      <c r="A54" s="2">
        <v>13</v>
      </c>
      <c r="B54" s="6" t="s">
        <v>42</v>
      </c>
      <c r="C54" s="7" t="s">
        <v>46</v>
      </c>
      <c r="D54" s="7" t="s">
        <v>47</v>
      </c>
      <c r="E54" s="7" t="s">
        <v>48</v>
      </c>
      <c r="F54" s="8" t="s">
        <v>41</v>
      </c>
      <c r="G54" s="8">
        <v>90.5</v>
      </c>
      <c r="H54" s="18">
        <v>75.4166666666667</v>
      </c>
      <c r="I54" s="8">
        <v>106.5</v>
      </c>
      <c r="J54" s="18">
        <v>88.75</v>
      </c>
      <c r="K54" s="8"/>
      <c r="L54" s="27">
        <v>82.0833333333333</v>
      </c>
      <c r="M54" s="36">
        <v>75.680000000000007</v>
      </c>
      <c r="N54" s="34">
        <v>79.52</v>
      </c>
      <c r="O54" s="21"/>
    </row>
    <row r="55" spans="1:15" ht="24" customHeight="1">
      <c r="A55" s="2">
        <v>14</v>
      </c>
      <c r="B55" s="6" t="str">
        <f>"20240311"</f>
        <v>20240311</v>
      </c>
      <c r="C55" s="7" t="str">
        <f>"2420108223"</f>
        <v>2420108223</v>
      </c>
      <c r="D55" s="7" t="str">
        <f>"082"</f>
        <v>082</v>
      </c>
      <c r="E55" s="7" t="str">
        <f>"23"</f>
        <v>23</v>
      </c>
      <c r="F55" s="8" t="s">
        <v>41</v>
      </c>
      <c r="G55" s="8">
        <v>93</v>
      </c>
      <c r="H55" s="18">
        <v>77.5</v>
      </c>
      <c r="I55" s="8">
        <v>105.5</v>
      </c>
      <c r="J55" s="18">
        <v>87.9166666666667</v>
      </c>
      <c r="K55" s="8"/>
      <c r="L55" s="27">
        <v>82.7083333333333</v>
      </c>
      <c r="M55" s="36">
        <v>74</v>
      </c>
      <c r="N55" s="34">
        <v>79.23</v>
      </c>
      <c r="O55" s="21"/>
    </row>
    <row r="56" spans="1:15" ht="24" customHeight="1">
      <c r="A56" s="2">
        <v>15</v>
      </c>
      <c r="B56" s="6" t="s">
        <v>42</v>
      </c>
      <c r="C56" s="7" t="s">
        <v>43</v>
      </c>
      <c r="D56" s="7" t="s">
        <v>44</v>
      </c>
      <c r="E56" s="7" t="s">
        <v>16</v>
      </c>
      <c r="F56" s="8" t="s">
        <v>41</v>
      </c>
      <c r="G56" s="8">
        <v>94</v>
      </c>
      <c r="H56" s="18">
        <v>78.3333333333333</v>
      </c>
      <c r="I56" s="8">
        <v>103.5</v>
      </c>
      <c r="J56" s="18">
        <v>86.25</v>
      </c>
      <c r="K56" s="8"/>
      <c r="L56" s="27">
        <v>82.2916666666667</v>
      </c>
      <c r="M56" s="36">
        <v>73.3</v>
      </c>
      <c r="N56" s="34">
        <v>78.7</v>
      </c>
      <c r="O56" s="21"/>
    </row>
    <row r="57" spans="1:15" ht="24" customHeight="1">
      <c r="A57" s="2">
        <v>16</v>
      </c>
      <c r="B57" s="6" t="str">
        <f>"20240311"</f>
        <v>20240311</v>
      </c>
      <c r="C57" s="7" t="str">
        <f>"2420107520"</f>
        <v>2420107520</v>
      </c>
      <c r="D57" s="7" t="str">
        <f>"075"</f>
        <v>075</v>
      </c>
      <c r="E57" s="7" t="str">
        <f>"20"</f>
        <v>20</v>
      </c>
      <c r="F57" s="8" t="s">
        <v>41</v>
      </c>
      <c r="G57" s="8">
        <v>98.5</v>
      </c>
      <c r="H57" s="18">
        <v>82.0833333333333</v>
      </c>
      <c r="I57" s="8">
        <v>106</v>
      </c>
      <c r="J57" s="18">
        <v>88.3333333333333</v>
      </c>
      <c r="K57" s="8"/>
      <c r="L57" s="27">
        <v>85.2083333333333</v>
      </c>
      <c r="M57" s="39" t="s">
        <v>95</v>
      </c>
      <c r="N57" s="34">
        <v>51.13</v>
      </c>
      <c r="O57" s="21"/>
    </row>
    <row r="58" spans="1:15" s="3" customFormat="1" ht="24" customHeight="1">
      <c r="A58" s="2">
        <v>17</v>
      </c>
      <c r="B58" s="7" t="str">
        <f>"20240311"</f>
        <v>20240311</v>
      </c>
      <c r="C58" s="7" t="str">
        <f>"2420107506"</f>
        <v>2420107506</v>
      </c>
      <c r="D58" s="7" t="str">
        <f>"075"</f>
        <v>075</v>
      </c>
      <c r="E58" s="7" t="str">
        <f>"06"</f>
        <v>06</v>
      </c>
      <c r="F58" s="8" t="s">
        <v>41</v>
      </c>
      <c r="G58" s="8">
        <v>94.5</v>
      </c>
      <c r="H58" s="18">
        <v>78.75</v>
      </c>
      <c r="I58" s="8">
        <v>106</v>
      </c>
      <c r="J58" s="18">
        <v>88.3333333333333</v>
      </c>
      <c r="K58" s="8"/>
      <c r="L58" s="27">
        <v>83.5416666666667</v>
      </c>
      <c r="M58" s="39" t="s">
        <v>95</v>
      </c>
      <c r="N58" s="34">
        <v>50.13</v>
      </c>
      <c r="O58" s="21"/>
    </row>
    <row r="59" spans="1:15" s="3" customFormat="1" ht="24" customHeight="1">
      <c r="A59" s="2">
        <v>18</v>
      </c>
      <c r="B59" s="7" t="str">
        <f>"20240311"</f>
        <v>20240311</v>
      </c>
      <c r="C59" s="7" t="str">
        <f>"2420108015"</f>
        <v>2420108015</v>
      </c>
      <c r="D59" s="7" t="str">
        <f>"080"</f>
        <v>080</v>
      </c>
      <c r="E59" s="7" t="str">
        <f>"15"</f>
        <v>15</v>
      </c>
      <c r="F59" s="8" t="s">
        <v>41</v>
      </c>
      <c r="G59" s="8">
        <v>92.5</v>
      </c>
      <c r="H59" s="18">
        <v>77.0833333333333</v>
      </c>
      <c r="I59" s="8">
        <v>107</v>
      </c>
      <c r="J59" s="18">
        <v>89.1666666666667</v>
      </c>
      <c r="K59" s="8"/>
      <c r="L59" s="27">
        <v>83.125</v>
      </c>
      <c r="M59" s="39" t="s">
        <v>95</v>
      </c>
      <c r="N59" s="34">
        <v>49.88</v>
      </c>
      <c r="O59" s="21"/>
    </row>
    <row r="60" spans="1:15" s="3" customFormat="1" ht="24" customHeight="1">
      <c r="A60" s="2">
        <v>19</v>
      </c>
      <c r="B60" s="7" t="s">
        <v>42</v>
      </c>
      <c r="C60" s="7" t="s">
        <v>45</v>
      </c>
      <c r="D60" s="7" t="s">
        <v>44</v>
      </c>
      <c r="E60" s="7" t="s">
        <v>18</v>
      </c>
      <c r="F60" s="8" t="s">
        <v>41</v>
      </c>
      <c r="G60" s="8">
        <v>92.5</v>
      </c>
      <c r="H60" s="18">
        <v>77.0833333333333</v>
      </c>
      <c r="I60" s="8">
        <v>104.5</v>
      </c>
      <c r="J60" s="18">
        <v>87.0833333333333</v>
      </c>
      <c r="K60" s="8"/>
      <c r="L60" s="27">
        <v>82.0833333333333</v>
      </c>
      <c r="M60" s="39" t="s">
        <v>95</v>
      </c>
      <c r="N60" s="34">
        <v>49.25</v>
      </c>
      <c r="O60" s="21"/>
    </row>
    <row r="61" spans="1:15" ht="32.1" customHeight="1">
      <c r="A61" s="9">
        <v>1</v>
      </c>
      <c r="B61" s="10" t="str">
        <f>"20240312"</f>
        <v>20240312</v>
      </c>
      <c r="C61" s="11" t="str">
        <f>"2410311914"</f>
        <v>2410311914</v>
      </c>
      <c r="D61" s="11" t="str">
        <f>"119"</f>
        <v>119</v>
      </c>
      <c r="E61" s="11" t="str">
        <f>"14"</f>
        <v>14</v>
      </c>
      <c r="F61" s="12" t="s">
        <v>49</v>
      </c>
      <c r="G61" s="12">
        <v>85</v>
      </c>
      <c r="H61" s="19">
        <v>70.8333333333333</v>
      </c>
      <c r="I61" s="12">
        <v>81.099999999999994</v>
      </c>
      <c r="J61" s="19">
        <v>67.5833333333333</v>
      </c>
      <c r="K61" s="12"/>
      <c r="L61" s="20">
        <v>69.2083333333333</v>
      </c>
      <c r="M61" s="35">
        <v>81.16</v>
      </c>
      <c r="N61" s="35">
        <v>73.989999999999995</v>
      </c>
      <c r="O61" s="21"/>
    </row>
    <row r="62" spans="1:15" ht="30.95" customHeight="1">
      <c r="A62" s="9">
        <v>2</v>
      </c>
      <c r="B62" s="10" t="str">
        <f>"20240312"</f>
        <v>20240312</v>
      </c>
      <c r="C62" s="11" t="str">
        <f>"2410312007"</f>
        <v>2410312007</v>
      </c>
      <c r="D62" s="11" t="str">
        <f>"120"</f>
        <v>120</v>
      </c>
      <c r="E62" s="11" t="str">
        <f>"07"</f>
        <v>07</v>
      </c>
      <c r="F62" s="12" t="s">
        <v>49</v>
      </c>
      <c r="G62" s="12">
        <v>80</v>
      </c>
      <c r="H62" s="19">
        <v>66.6666666666667</v>
      </c>
      <c r="I62" s="12">
        <v>81.900000000000006</v>
      </c>
      <c r="J62" s="19">
        <v>68.25</v>
      </c>
      <c r="K62" s="12"/>
      <c r="L62" s="20">
        <v>67.4583333333333</v>
      </c>
      <c r="M62" s="35">
        <v>77</v>
      </c>
      <c r="N62" s="35">
        <v>71.28</v>
      </c>
      <c r="O62" s="21"/>
    </row>
    <row r="63" spans="1:15" ht="30" customHeight="1">
      <c r="A63" s="9">
        <v>3</v>
      </c>
      <c r="B63" s="10" t="str">
        <f>"20240312"</f>
        <v>20240312</v>
      </c>
      <c r="C63" s="11" t="str">
        <f>"2410312005"</f>
        <v>2410312005</v>
      </c>
      <c r="D63" s="11" t="str">
        <f>"120"</f>
        <v>120</v>
      </c>
      <c r="E63" s="11" t="str">
        <f>"05"</f>
        <v>05</v>
      </c>
      <c r="F63" s="12" t="s">
        <v>49</v>
      </c>
      <c r="G63" s="12">
        <v>82.5</v>
      </c>
      <c r="H63" s="19">
        <v>68.75</v>
      </c>
      <c r="I63" s="12">
        <v>75.099999999999994</v>
      </c>
      <c r="J63" s="19">
        <v>62.5833333333333</v>
      </c>
      <c r="K63" s="12"/>
      <c r="L63" s="20">
        <v>65.6666666666667</v>
      </c>
      <c r="M63" s="35">
        <v>79.239999999999995</v>
      </c>
      <c r="N63" s="35">
        <v>71.099999999999994</v>
      </c>
      <c r="O63" s="21"/>
    </row>
    <row r="64" spans="1:15" ht="30.95" customHeight="1">
      <c r="A64" s="9">
        <v>4</v>
      </c>
      <c r="B64" s="10" t="str">
        <f>"20240312"</f>
        <v>20240312</v>
      </c>
      <c r="C64" s="11" t="str">
        <f>"2410312205"</f>
        <v>2410312205</v>
      </c>
      <c r="D64" s="11" t="str">
        <f>"122"</f>
        <v>122</v>
      </c>
      <c r="E64" s="11" t="str">
        <f>"05"</f>
        <v>05</v>
      </c>
      <c r="F64" s="12" t="s">
        <v>49</v>
      </c>
      <c r="G64" s="12">
        <v>82</v>
      </c>
      <c r="H64" s="19">
        <v>68.3333333333333</v>
      </c>
      <c r="I64" s="12">
        <v>76.900000000000006</v>
      </c>
      <c r="J64" s="19">
        <v>64.0833333333333</v>
      </c>
      <c r="K64" s="12"/>
      <c r="L64" s="20">
        <v>66.2083333333333</v>
      </c>
      <c r="M64" s="35">
        <v>77.02</v>
      </c>
      <c r="N64" s="35">
        <v>70.53</v>
      </c>
      <c r="O64" s="21"/>
    </row>
    <row r="65" spans="1:15" ht="32.1" customHeight="1">
      <c r="A65" s="9">
        <v>5</v>
      </c>
      <c r="B65" s="10" t="str">
        <f>"20240312"</f>
        <v>20240312</v>
      </c>
      <c r="C65" s="11" t="str">
        <f>"2410311901"</f>
        <v>2410311901</v>
      </c>
      <c r="D65" s="11" t="str">
        <f>"119"</f>
        <v>119</v>
      </c>
      <c r="E65" s="11" t="str">
        <f>"01"</f>
        <v>01</v>
      </c>
      <c r="F65" s="12" t="s">
        <v>49</v>
      </c>
      <c r="G65" s="12">
        <v>82</v>
      </c>
      <c r="H65" s="19">
        <v>68.3333333333333</v>
      </c>
      <c r="I65" s="12">
        <v>73</v>
      </c>
      <c r="J65" s="19">
        <v>60.8333333333333</v>
      </c>
      <c r="K65" s="12"/>
      <c r="L65" s="20">
        <v>64.5833333333333</v>
      </c>
      <c r="M65" s="35">
        <v>76.319999999999993</v>
      </c>
      <c r="N65" s="35">
        <v>69.28</v>
      </c>
      <c r="O65" s="21"/>
    </row>
    <row r="66" spans="1:15" ht="33.950000000000003" customHeight="1">
      <c r="A66" s="9">
        <v>6</v>
      </c>
      <c r="B66" s="10" t="s">
        <v>50</v>
      </c>
      <c r="C66" s="11" t="s">
        <v>53</v>
      </c>
      <c r="D66" s="11" t="s">
        <v>54</v>
      </c>
      <c r="E66" s="11" t="s">
        <v>18</v>
      </c>
      <c r="F66" s="12" t="s">
        <v>49</v>
      </c>
      <c r="G66" s="12">
        <v>88</v>
      </c>
      <c r="H66" s="19">
        <v>73.3333333333333</v>
      </c>
      <c r="I66" s="12">
        <v>63.4</v>
      </c>
      <c r="J66" s="19">
        <v>52.8333333333333</v>
      </c>
      <c r="K66" s="12"/>
      <c r="L66" s="20">
        <v>63.0833333333333</v>
      </c>
      <c r="M66" s="35">
        <v>74.760000000000005</v>
      </c>
      <c r="N66" s="35">
        <v>67.75</v>
      </c>
      <c r="O66" s="21"/>
    </row>
    <row r="67" spans="1:15" s="3" customFormat="1" ht="35.1" customHeight="1">
      <c r="A67" s="9">
        <v>7</v>
      </c>
      <c r="B67" s="11" t="str">
        <f>"20240312"</f>
        <v>20240312</v>
      </c>
      <c r="C67" s="11" t="str">
        <f>"2410311930"</f>
        <v>2410311930</v>
      </c>
      <c r="D67" s="11" t="str">
        <f>"119"</f>
        <v>119</v>
      </c>
      <c r="E67" s="11" t="str">
        <f>"30"</f>
        <v>30</v>
      </c>
      <c r="F67" s="12" t="s">
        <v>49</v>
      </c>
      <c r="G67" s="12">
        <v>79.5</v>
      </c>
      <c r="H67" s="19">
        <v>66.25</v>
      </c>
      <c r="I67" s="12">
        <v>75.599999999999994</v>
      </c>
      <c r="J67" s="19">
        <v>63</v>
      </c>
      <c r="K67" s="12"/>
      <c r="L67" s="20">
        <v>64.625</v>
      </c>
      <c r="M67" s="40" t="s">
        <v>95</v>
      </c>
      <c r="N67" s="35">
        <v>38.78</v>
      </c>
      <c r="O67" s="21"/>
    </row>
    <row r="68" spans="1:15" s="3" customFormat="1" ht="36" customHeight="1">
      <c r="A68" s="9">
        <v>8</v>
      </c>
      <c r="B68" s="11" t="s">
        <v>50</v>
      </c>
      <c r="C68" s="11" t="s">
        <v>51</v>
      </c>
      <c r="D68" s="11" t="s">
        <v>52</v>
      </c>
      <c r="E68" s="11" t="s">
        <v>32</v>
      </c>
      <c r="F68" s="12" t="s">
        <v>49</v>
      </c>
      <c r="G68" s="12">
        <v>86.5</v>
      </c>
      <c r="H68" s="19">
        <v>72.0833333333333</v>
      </c>
      <c r="I68" s="12">
        <v>66.400000000000006</v>
      </c>
      <c r="J68" s="19">
        <v>55.3333333333333</v>
      </c>
      <c r="K68" s="12"/>
      <c r="L68" s="20">
        <v>63.7083333333333</v>
      </c>
      <c r="M68" s="40" t="s">
        <v>95</v>
      </c>
      <c r="N68" s="35">
        <v>38.229999999999997</v>
      </c>
      <c r="O68" s="21"/>
    </row>
    <row r="69" spans="1:15" s="3" customFormat="1" ht="36" customHeight="1">
      <c r="A69" s="9">
        <v>9</v>
      </c>
      <c r="B69" s="11" t="s">
        <v>50</v>
      </c>
      <c r="C69" s="11" t="s">
        <v>55</v>
      </c>
      <c r="D69" s="11" t="s">
        <v>56</v>
      </c>
      <c r="E69" s="11" t="s">
        <v>14</v>
      </c>
      <c r="F69" s="12" t="s">
        <v>49</v>
      </c>
      <c r="G69" s="12">
        <v>84.5</v>
      </c>
      <c r="H69" s="19">
        <v>70.4166666666667</v>
      </c>
      <c r="I69" s="12">
        <v>66.5</v>
      </c>
      <c r="J69" s="19">
        <v>55.4166666666667</v>
      </c>
      <c r="K69" s="12"/>
      <c r="L69" s="20">
        <v>62.9166666666667</v>
      </c>
      <c r="M69" s="40" t="s">
        <v>95</v>
      </c>
      <c r="N69" s="35">
        <v>37.75</v>
      </c>
      <c r="O69" s="21"/>
    </row>
    <row r="70" spans="1:15" ht="24" customHeight="1">
      <c r="A70" s="2">
        <v>1</v>
      </c>
      <c r="B70" s="6" t="str">
        <f t="shared" ref="B70:B78" si="3">"20240313"</f>
        <v>20240313</v>
      </c>
      <c r="C70" s="7" t="str">
        <f>"2420209017"</f>
        <v>2420209017</v>
      </c>
      <c r="D70" s="7" t="str">
        <f>"090"</f>
        <v>090</v>
      </c>
      <c r="E70" s="7" t="str">
        <f>"17"</f>
        <v>17</v>
      </c>
      <c r="F70" s="8" t="s">
        <v>57</v>
      </c>
      <c r="G70" s="8">
        <v>90</v>
      </c>
      <c r="H70" s="18">
        <v>75</v>
      </c>
      <c r="I70" s="8">
        <v>102</v>
      </c>
      <c r="J70" s="18">
        <v>85</v>
      </c>
      <c r="K70" s="8"/>
      <c r="L70" s="27">
        <v>80</v>
      </c>
      <c r="M70" s="36">
        <v>86</v>
      </c>
      <c r="N70" s="34">
        <v>82.4</v>
      </c>
      <c r="O70" s="21"/>
    </row>
    <row r="71" spans="1:15" ht="24" customHeight="1">
      <c r="A71" s="2">
        <v>2</v>
      </c>
      <c r="B71" s="6" t="str">
        <f t="shared" si="3"/>
        <v>20240313</v>
      </c>
      <c r="C71" s="7" t="str">
        <f>"2420208918"</f>
        <v>2420208918</v>
      </c>
      <c r="D71" s="7" t="str">
        <f>"089"</f>
        <v>089</v>
      </c>
      <c r="E71" s="7" t="str">
        <f>"18"</f>
        <v>18</v>
      </c>
      <c r="F71" s="8" t="s">
        <v>57</v>
      </c>
      <c r="G71" s="8">
        <v>88.5</v>
      </c>
      <c r="H71" s="18">
        <v>73.75</v>
      </c>
      <c r="I71" s="8">
        <v>92</v>
      </c>
      <c r="J71" s="18">
        <v>76.6666666666667</v>
      </c>
      <c r="K71" s="8"/>
      <c r="L71" s="27">
        <v>75.2083333333333</v>
      </c>
      <c r="M71" s="36">
        <v>86.88</v>
      </c>
      <c r="N71" s="34">
        <v>79.88</v>
      </c>
      <c r="O71" s="21"/>
    </row>
    <row r="72" spans="1:15" ht="24" customHeight="1">
      <c r="A72" s="2">
        <v>3</v>
      </c>
      <c r="B72" s="6" t="str">
        <f t="shared" si="3"/>
        <v>20240313</v>
      </c>
      <c r="C72" s="7" t="str">
        <f>"2420208821"</f>
        <v>2420208821</v>
      </c>
      <c r="D72" s="7" t="str">
        <f>"088"</f>
        <v>088</v>
      </c>
      <c r="E72" s="7" t="str">
        <f>"21"</f>
        <v>21</v>
      </c>
      <c r="F72" s="8" t="s">
        <v>57</v>
      </c>
      <c r="G72" s="8">
        <v>80.5</v>
      </c>
      <c r="H72" s="18">
        <v>67.0833333333333</v>
      </c>
      <c r="I72" s="8">
        <v>100.5</v>
      </c>
      <c r="J72" s="18">
        <v>83.75</v>
      </c>
      <c r="K72" s="8"/>
      <c r="L72" s="27">
        <v>75.4166666666667</v>
      </c>
      <c r="M72" s="36">
        <v>84.28</v>
      </c>
      <c r="N72" s="34">
        <v>78.959999999999994</v>
      </c>
      <c r="O72" s="21"/>
    </row>
    <row r="73" spans="1:15" ht="24" customHeight="1">
      <c r="A73" s="2">
        <v>4</v>
      </c>
      <c r="B73" s="6" t="str">
        <f t="shared" si="3"/>
        <v>20240313</v>
      </c>
      <c r="C73" s="7" t="str">
        <f>"2420208812"</f>
        <v>2420208812</v>
      </c>
      <c r="D73" s="7" t="str">
        <f>"088"</f>
        <v>088</v>
      </c>
      <c r="E73" s="7" t="str">
        <f>"12"</f>
        <v>12</v>
      </c>
      <c r="F73" s="8" t="s">
        <v>57</v>
      </c>
      <c r="G73" s="8">
        <v>75.5</v>
      </c>
      <c r="H73" s="18">
        <v>62.9166666666667</v>
      </c>
      <c r="I73" s="8">
        <v>104.5</v>
      </c>
      <c r="J73" s="18">
        <v>87.0833333333333</v>
      </c>
      <c r="K73" s="8"/>
      <c r="L73" s="27">
        <v>75</v>
      </c>
      <c r="M73" s="36">
        <v>83.68</v>
      </c>
      <c r="N73" s="34">
        <v>78.47</v>
      </c>
      <c r="O73" s="21"/>
    </row>
    <row r="74" spans="1:15" ht="24" customHeight="1">
      <c r="A74" s="2">
        <v>5</v>
      </c>
      <c r="B74" s="6" t="str">
        <f t="shared" si="3"/>
        <v>20240313</v>
      </c>
      <c r="C74" s="7" t="str">
        <f>"2420108705"</f>
        <v>2420108705</v>
      </c>
      <c r="D74" s="7" t="str">
        <f>"087"</f>
        <v>087</v>
      </c>
      <c r="E74" s="7" t="str">
        <f>"05"</f>
        <v>05</v>
      </c>
      <c r="F74" s="8" t="s">
        <v>57</v>
      </c>
      <c r="G74" s="8">
        <v>82</v>
      </c>
      <c r="H74" s="18">
        <v>68.3333333333333</v>
      </c>
      <c r="I74" s="8">
        <v>91.5</v>
      </c>
      <c r="J74" s="18">
        <v>76.25</v>
      </c>
      <c r="K74" s="8"/>
      <c r="L74" s="27">
        <v>72.2916666666667</v>
      </c>
      <c r="M74" s="36">
        <v>86.18</v>
      </c>
      <c r="N74" s="34">
        <v>77.849999999999994</v>
      </c>
      <c r="O74" s="21"/>
    </row>
    <row r="75" spans="1:15" ht="24" customHeight="1">
      <c r="A75" s="2">
        <v>6</v>
      </c>
      <c r="B75" s="6" t="str">
        <f t="shared" si="3"/>
        <v>20240313</v>
      </c>
      <c r="C75" s="7" t="str">
        <f>"2420209014"</f>
        <v>2420209014</v>
      </c>
      <c r="D75" s="7" t="str">
        <f>"090"</f>
        <v>090</v>
      </c>
      <c r="E75" s="7" t="str">
        <f>"14"</f>
        <v>14</v>
      </c>
      <c r="F75" s="8" t="s">
        <v>57</v>
      </c>
      <c r="G75" s="8">
        <v>85.5</v>
      </c>
      <c r="H75" s="18">
        <v>71.25</v>
      </c>
      <c r="I75" s="8">
        <v>96.5</v>
      </c>
      <c r="J75" s="18">
        <v>80.4166666666667</v>
      </c>
      <c r="K75" s="8"/>
      <c r="L75" s="27">
        <v>75.8333333333333</v>
      </c>
      <c r="M75" s="36">
        <v>78.28</v>
      </c>
      <c r="N75" s="34">
        <v>76.81</v>
      </c>
      <c r="O75" s="21"/>
    </row>
    <row r="76" spans="1:15" ht="24" customHeight="1">
      <c r="A76" s="2">
        <v>7</v>
      </c>
      <c r="B76" s="6" t="str">
        <f t="shared" si="3"/>
        <v>20240313</v>
      </c>
      <c r="C76" s="7" t="str">
        <f>"2420208826"</f>
        <v>2420208826</v>
      </c>
      <c r="D76" s="7" t="str">
        <f>"088"</f>
        <v>088</v>
      </c>
      <c r="E76" s="7" t="str">
        <f>"26"</f>
        <v>26</v>
      </c>
      <c r="F76" s="8" t="s">
        <v>57</v>
      </c>
      <c r="G76" s="8">
        <v>75.5</v>
      </c>
      <c r="H76" s="18">
        <v>62.9166666666667</v>
      </c>
      <c r="I76" s="8">
        <v>97.5</v>
      </c>
      <c r="J76" s="18">
        <v>81.25</v>
      </c>
      <c r="K76" s="8"/>
      <c r="L76" s="27">
        <v>72.0833333333333</v>
      </c>
      <c r="M76" s="36">
        <v>83.3</v>
      </c>
      <c r="N76" s="34">
        <v>76.569999999999993</v>
      </c>
      <c r="O76" s="21"/>
    </row>
    <row r="77" spans="1:15" ht="24" customHeight="1">
      <c r="A77" s="2">
        <v>8</v>
      </c>
      <c r="B77" s="6" t="str">
        <f t="shared" si="3"/>
        <v>20240313</v>
      </c>
      <c r="C77" s="7" t="str">
        <f>"2420209025"</f>
        <v>2420209025</v>
      </c>
      <c r="D77" s="7" t="str">
        <f>"090"</f>
        <v>090</v>
      </c>
      <c r="E77" s="7" t="str">
        <f>"25"</f>
        <v>25</v>
      </c>
      <c r="F77" s="8" t="s">
        <v>57</v>
      </c>
      <c r="G77" s="8">
        <v>76</v>
      </c>
      <c r="H77" s="18">
        <v>63.3333333333333</v>
      </c>
      <c r="I77" s="8">
        <v>91.5</v>
      </c>
      <c r="J77" s="18">
        <v>76.25</v>
      </c>
      <c r="K77" s="8"/>
      <c r="L77" s="27">
        <v>69.7916666666667</v>
      </c>
      <c r="M77" s="36">
        <v>85.92</v>
      </c>
      <c r="N77" s="34">
        <v>76.239999999999995</v>
      </c>
      <c r="O77" s="21"/>
    </row>
    <row r="78" spans="1:15" ht="24" customHeight="1">
      <c r="A78" s="2">
        <v>9</v>
      </c>
      <c r="B78" s="6" t="str">
        <f t="shared" si="3"/>
        <v>20240313</v>
      </c>
      <c r="C78" s="7" t="str">
        <f>"2420208807"</f>
        <v>2420208807</v>
      </c>
      <c r="D78" s="7" t="str">
        <f>"088"</f>
        <v>088</v>
      </c>
      <c r="E78" s="7" t="str">
        <f>"07"</f>
        <v>07</v>
      </c>
      <c r="F78" s="8" t="s">
        <v>57</v>
      </c>
      <c r="G78" s="8">
        <v>74</v>
      </c>
      <c r="H78" s="18">
        <v>61.6666666666667</v>
      </c>
      <c r="I78" s="8">
        <v>93</v>
      </c>
      <c r="J78" s="18">
        <v>77.5</v>
      </c>
      <c r="K78" s="8"/>
      <c r="L78" s="27">
        <v>69.5833333333333</v>
      </c>
      <c r="M78" s="36">
        <v>85.5</v>
      </c>
      <c r="N78" s="34">
        <v>75.95</v>
      </c>
      <c r="O78" s="21"/>
    </row>
    <row r="79" spans="1:15" ht="24" customHeight="1">
      <c r="A79" s="2">
        <v>10</v>
      </c>
      <c r="B79" s="6" t="s">
        <v>58</v>
      </c>
      <c r="C79" s="7" t="s">
        <v>62</v>
      </c>
      <c r="D79" s="7" t="s">
        <v>17</v>
      </c>
      <c r="E79" s="7" t="s">
        <v>63</v>
      </c>
      <c r="F79" s="8" t="s">
        <v>57</v>
      </c>
      <c r="G79" s="8">
        <v>84.5</v>
      </c>
      <c r="H79" s="18">
        <v>70.4166666666667</v>
      </c>
      <c r="I79" s="8">
        <v>81</v>
      </c>
      <c r="J79" s="18">
        <v>67.5</v>
      </c>
      <c r="K79" s="8"/>
      <c r="L79" s="27">
        <v>68.9583333333333</v>
      </c>
      <c r="M79" s="36">
        <v>84.9</v>
      </c>
      <c r="N79" s="34">
        <v>75.34</v>
      </c>
      <c r="O79" s="21"/>
    </row>
    <row r="80" spans="1:15" ht="24" customHeight="1">
      <c r="A80" s="2">
        <v>11</v>
      </c>
      <c r="B80" s="6" t="s">
        <v>58</v>
      </c>
      <c r="C80" s="7" t="s">
        <v>61</v>
      </c>
      <c r="D80" s="7" t="s">
        <v>15</v>
      </c>
      <c r="E80" s="7" t="s">
        <v>12</v>
      </c>
      <c r="F80" s="8" t="s">
        <v>57</v>
      </c>
      <c r="G80" s="8">
        <v>77.5</v>
      </c>
      <c r="H80" s="18">
        <v>64.5833333333333</v>
      </c>
      <c r="I80" s="8">
        <v>88.5</v>
      </c>
      <c r="J80" s="18">
        <v>73.75</v>
      </c>
      <c r="K80" s="8"/>
      <c r="L80" s="27">
        <v>69.1666666666667</v>
      </c>
      <c r="M80" s="36">
        <v>81.38</v>
      </c>
      <c r="N80" s="34">
        <v>74.05</v>
      </c>
      <c r="O80" s="21"/>
    </row>
    <row r="81" spans="1:15" ht="24" customHeight="1">
      <c r="A81" s="2">
        <v>12</v>
      </c>
      <c r="B81" s="6" t="str">
        <f>"20240313"</f>
        <v>20240313</v>
      </c>
      <c r="C81" s="7" t="str">
        <f>"2420208817"</f>
        <v>2420208817</v>
      </c>
      <c r="D81" s="7" t="str">
        <f>"088"</f>
        <v>088</v>
      </c>
      <c r="E81" s="7" t="str">
        <f>"17"</f>
        <v>17</v>
      </c>
      <c r="F81" s="8" t="s">
        <v>57</v>
      </c>
      <c r="G81" s="8">
        <v>92.5</v>
      </c>
      <c r="H81" s="18">
        <v>77.0833333333333</v>
      </c>
      <c r="I81" s="8">
        <v>96.5</v>
      </c>
      <c r="J81" s="18">
        <v>80.4166666666667</v>
      </c>
      <c r="K81" s="8"/>
      <c r="L81" s="27">
        <v>78.75</v>
      </c>
      <c r="M81" s="39" t="s">
        <v>95</v>
      </c>
      <c r="N81" s="34">
        <v>47.25</v>
      </c>
      <c r="O81" s="21"/>
    </row>
    <row r="82" spans="1:15" ht="24" customHeight="1">
      <c r="A82" s="2">
        <v>13</v>
      </c>
      <c r="B82" s="6" t="str">
        <f>"20240313"</f>
        <v>20240313</v>
      </c>
      <c r="C82" s="7" t="str">
        <f>"2420208808"</f>
        <v>2420208808</v>
      </c>
      <c r="D82" s="7" t="str">
        <f>"088"</f>
        <v>088</v>
      </c>
      <c r="E82" s="7" t="str">
        <f>"08"</f>
        <v>08</v>
      </c>
      <c r="F82" s="8" t="s">
        <v>57</v>
      </c>
      <c r="G82" s="8">
        <v>86</v>
      </c>
      <c r="H82" s="18">
        <v>71.6666666666667</v>
      </c>
      <c r="I82" s="8">
        <v>93.5</v>
      </c>
      <c r="J82" s="18">
        <v>77.9166666666667</v>
      </c>
      <c r="K82" s="8"/>
      <c r="L82" s="27">
        <v>74.7916666666667</v>
      </c>
      <c r="M82" s="39" t="s">
        <v>95</v>
      </c>
      <c r="N82" s="34">
        <v>44.88</v>
      </c>
      <c r="O82" s="21"/>
    </row>
    <row r="83" spans="1:15" ht="24" customHeight="1">
      <c r="A83" s="2">
        <v>14</v>
      </c>
      <c r="B83" s="6" t="str">
        <f>"20240313"</f>
        <v>20240313</v>
      </c>
      <c r="C83" s="7" t="str">
        <f>"2420208926"</f>
        <v>2420208926</v>
      </c>
      <c r="D83" s="7" t="str">
        <f>"089"</f>
        <v>089</v>
      </c>
      <c r="E83" s="7" t="str">
        <f>"26"</f>
        <v>26</v>
      </c>
      <c r="F83" s="8" t="s">
        <v>57</v>
      </c>
      <c r="G83" s="8">
        <v>77</v>
      </c>
      <c r="H83" s="18">
        <v>64.1666666666667</v>
      </c>
      <c r="I83" s="8">
        <v>95</v>
      </c>
      <c r="J83" s="18">
        <v>79.1666666666667</v>
      </c>
      <c r="K83" s="8"/>
      <c r="L83" s="27">
        <v>71.6666666666667</v>
      </c>
      <c r="M83" s="39" t="s">
        <v>95</v>
      </c>
      <c r="N83" s="34">
        <v>43</v>
      </c>
      <c r="O83" s="21"/>
    </row>
    <row r="84" spans="1:15" s="3" customFormat="1" ht="24" customHeight="1">
      <c r="A84" s="2">
        <v>15</v>
      </c>
      <c r="B84" s="7" t="str">
        <f>"20240313"</f>
        <v>20240313</v>
      </c>
      <c r="C84" s="7" t="str">
        <f>"2420108712"</f>
        <v>2420108712</v>
      </c>
      <c r="D84" s="7" t="str">
        <f>"087"</f>
        <v>087</v>
      </c>
      <c r="E84" s="7" t="str">
        <f>"12"</f>
        <v>12</v>
      </c>
      <c r="F84" s="8" t="s">
        <v>57</v>
      </c>
      <c r="G84" s="8">
        <v>76.5</v>
      </c>
      <c r="H84" s="18">
        <v>63.75</v>
      </c>
      <c r="I84" s="8">
        <v>92.5</v>
      </c>
      <c r="J84" s="18">
        <v>77.0833333333333</v>
      </c>
      <c r="K84" s="8"/>
      <c r="L84" s="27">
        <v>70.4166666666667</v>
      </c>
      <c r="M84" s="39" t="s">
        <v>95</v>
      </c>
      <c r="N84" s="34">
        <v>42.25</v>
      </c>
      <c r="O84" s="21"/>
    </row>
    <row r="85" spans="1:15" s="3" customFormat="1" ht="24" customHeight="1">
      <c r="A85" s="2">
        <v>16</v>
      </c>
      <c r="B85" s="7" t="str">
        <f>"20240313"</f>
        <v>20240313</v>
      </c>
      <c r="C85" s="7" t="str">
        <f>"2420209106"</f>
        <v>2420209106</v>
      </c>
      <c r="D85" s="7" t="str">
        <f>"091"</f>
        <v>091</v>
      </c>
      <c r="E85" s="7" t="str">
        <f>"06"</f>
        <v>06</v>
      </c>
      <c r="F85" s="8" t="s">
        <v>57</v>
      </c>
      <c r="G85" s="8">
        <v>90.5</v>
      </c>
      <c r="H85" s="18">
        <v>75.4166666666667</v>
      </c>
      <c r="I85" s="8">
        <v>78</v>
      </c>
      <c r="J85" s="18">
        <v>65</v>
      </c>
      <c r="K85" s="8"/>
      <c r="L85" s="27">
        <v>70.2083333333333</v>
      </c>
      <c r="M85" s="39" t="s">
        <v>95</v>
      </c>
      <c r="N85" s="34">
        <v>42.13</v>
      </c>
      <c r="O85" s="21"/>
    </row>
    <row r="86" spans="1:15" s="3" customFormat="1" ht="24" customHeight="1">
      <c r="A86" s="2">
        <v>17</v>
      </c>
      <c r="B86" s="7" t="s">
        <v>58</v>
      </c>
      <c r="C86" s="7" t="s">
        <v>59</v>
      </c>
      <c r="D86" s="7" t="s">
        <v>17</v>
      </c>
      <c r="E86" s="7" t="s">
        <v>60</v>
      </c>
      <c r="F86" s="8" t="s">
        <v>57</v>
      </c>
      <c r="G86" s="8">
        <v>100.5</v>
      </c>
      <c r="H86" s="18">
        <v>83.75</v>
      </c>
      <c r="I86" s="8">
        <v>65.5</v>
      </c>
      <c r="J86" s="18">
        <v>54.5833333333333</v>
      </c>
      <c r="K86" s="8"/>
      <c r="L86" s="27">
        <v>69.1666666666667</v>
      </c>
      <c r="M86" s="39" t="s">
        <v>95</v>
      </c>
      <c r="N86" s="34">
        <v>41.5</v>
      </c>
      <c r="O86" s="21"/>
    </row>
    <row r="87" spans="1:15" ht="24" customHeight="1">
      <c r="A87" s="9">
        <v>1</v>
      </c>
      <c r="B87" s="10" t="str">
        <f t="shared" ref="B87:B95" si="4">"20240314"</f>
        <v>20240314</v>
      </c>
      <c r="C87" s="11" t="str">
        <f>"2420209411"</f>
        <v>2420209411</v>
      </c>
      <c r="D87" s="11" t="str">
        <f>"094"</f>
        <v>094</v>
      </c>
      <c r="E87" s="11" t="str">
        <f>"11"</f>
        <v>11</v>
      </c>
      <c r="F87" s="12" t="s">
        <v>64</v>
      </c>
      <c r="G87" s="12">
        <v>86</v>
      </c>
      <c r="H87" s="19">
        <v>71.6666666666667</v>
      </c>
      <c r="I87" s="12">
        <v>92.5</v>
      </c>
      <c r="J87" s="19">
        <v>77.0833333333333</v>
      </c>
      <c r="K87" s="12"/>
      <c r="L87" s="20">
        <v>74.375</v>
      </c>
      <c r="M87" s="35">
        <v>85.54</v>
      </c>
      <c r="N87" s="35">
        <v>78.84</v>
      </c>
      <c r="O87" s="21"/>
    </row>
    <row r="88" spans="1:15" ht="24" customHeight="1">
      <c r="A88" s="9">
        <v>2</v>
      </c>
      <c r="B88" s="10" t="str">
        <f t="shared" si="4"/>
        <v>20240314</v>
      </c>
      <c r="C88" s="11" t="str">
        <f>"2420209205"</f>
        <v>2420209205</v>
      </c>
      <c r="D88" s="11" t="str">
        <f>"092"</f>
        <v>092</v>
      </c>
      <c r="E88" s="11" t="str">
        <f>"05"</f>
        <v>05</v>
      </c>
      <c r="F88" s="12" t="s">
        <v>64</v>
      </c>
      <c r="G88" s="12">
        <v>87</v>
      </c>
      <c r="H88" s="19">
        <v>72.5</v>
      </c>
      <c r="I88" s="12">
        <v>84.5</v>
      </c>
      <c r="J88" s="19">
        <v>70.4166666666667</v>
      </c>
      <c r="K88" s="12"/>
      <c r="L88" s="20">
        <v>71.4583333333333</v>
      </c>
      <c r="M88" s="35">
        <v>88.22</v>
      </c>
      <c r="N88" s="35">
        <v>78.16</v>
      </c>
      <c r="O88" s="21"/>
    </row>
    <row r="89" spans="1:15" ht="24" customHeight="1">
      <c r="A89" s="9">
        <v>3</v>
      </c>
      <c r="B89" s="10" t="str">
        <f t="shared" si="4"/>
        <v>20240314</v>
      </c>
      <c r="C89" s="11" t="str">
        <f>"2420209705"</f>
        <v>2420209705</v>
      </c>
      <c r="D89" s="11" t="str">
        <f>"097"</f>
        <v>097</v>
      </c>
      <c r="E89" s="11" t="str">
        <f>"05"</f>
        <v>05</v>
      </c>
      <c r="F89" s="12" t="s">
        <v>64</v>
      </c>
      <c r="G89" s="12">
        <v>75</v>
      </c>
      <c r="H89" s="19">
        <v>62.5</v>
      </c>
      <c r="I89" s="12">
        <v>96</v>
      </c>
      <c r="J89" s="19">
        <v>80</v>
      </c>
      <c r="K89" s="12"/>
      <c r="L89" s="20">
        <v>71.25</v>
      </c>
      <c r="M89" s="35">
        <v>88.24</v>
      </c>
      <c r="N89" s="35">
        <v>78.05</v>
      </c>
      <c r="O89" s="21"/>
    </row>
    <row r="90" spans="1:15" ht="24" customHeight="1">
      <c r="A90" s="9">
        <v>4</v>
      </c>
      <c r="B90" s="10" t="str">
        <f t="shared" si="4"/>
        <v>20240314</v>
      </c>
      <c r="C90" s="11" t="str">
        <f>"2420209301"</f>
        <v>2420209301</v>
      </c>
      <c r="D90" s="11" t="str">
        <f>"093"</f>
        <v>093</v>
      </c>
      <c r="E90" s="11" t="str">
        <f>"01"</f>
        <v>01</v>
      </c>
      <c r="F90" s="12" t="s">
        <v>64</v>
      </c>
      <c r="G90" s="12">
        <v>84.5</v>
      </c>
      <c r="H90" s="19">
        <v>70.4166666666667</v>
      </c>
      <c r="I90" s="12">
        <v>94</v>
      </c>
      <c r="J90" s="19">
        <v>78.3333333333333</v>
      </c>
      <c r="K90" s="12"/>
      <c r="L90" s="20">
        <v>74.375</v>
      </c>
      <c r="M90" s="35">
        <v>83.08</v>
      </c>
      <c r="N90" s="35">
        <v>77.86</v>
      </c>
      <c r="O90" s="21"/>
    </row>
    <row r="91" spans="1:15" ht="24" customHeight="1">
      <c r="A91" s="9">
        <v>5</v>
      </c>
      <c r="B91" s="10" t="str">
        <f t="shared" si="4"/>
        <v>20240314</v>
      </c>
      <c r="C91" s="11" t="str">
        <f>"2420209314"</f>
        <v>2420209314</v>
      </c>
      <c r="D91" s="11" t="str">
        <f>"093"</f>
        <v>093</v>
      </c>
      <c r="E91" s="11" t="str">
        <f>"14"</f>
        <v>14</v>
      </c>
      <c r="F91" s="12" t="s">
        <v>64</v>
      </c>
      <c r="G91" s="12">
        <v>80.5</v>
      </c>
      <c r="H91" s="19">
        <v>67.0833333333333</v>
      </c>
      <c r="I91" s="12">
        <v>98</v>
      </c>
      <c r="J91" s="19">
        <v>81.6666666666667</v>
      </c>
      <c r="K91" s="12"/>
      <c r="L91" s="20">
        <v>74.375</v>
      </c>
      <c r="M91" s="35">
        <v>81.84</v>
      </c>
      <c r="N91" s="35">
        <v>77.36</v>
      </c>
      <c r="O91" s="21"/>
    </row>
    <row r="92" spans="1:15" ht="24" customHeight="1">
      <c r="A92" s="9">
        <v>6</v>
      </c>
      <c r="B92" s="10" t="str">
        <f t="shared" si="4"/>
        <v>20240314</v>
      </c>
      <c r="C92" s="11" t="str">
        <f>"2420209416"</f>
        <v>2420209416</v>
      </c>
      <c r="D92" s="11" t="str">
        <f>"094"</f>
        <v>094</v>
      </c>
      <c r="E92" s="11" t="str">
        <f>"16"</f>
        <v>16</v>
      </c>
      <c r="F92" s="12" t="s">
        <v>64</v>
      </c>
      <c r="G92" s="12">
        <v>81.5</v>
      </c>
      <c r="H92" s="19">
        <v>67.9166666666667</v>
      </c>
      <c r="I92" s="12">
        <v>90</v>
      </c>
      <c r="J92" s="19">
        <v>75</v>
      </c>
      <c r="K92" s="12"/>
      <c r="L92" s="20">
        <v>71.4583333333333</v>
      </c>
      <c r="M92" s="35">
        <v>85.34</v>
      </c>
      <c r="N92" s="35">
        <v>77.010000000000005</v>
      </c>
      <c r="O92" s="21"/>
    </row>
    <row r="93" spans="1:15" ht="24" customHeight="1">
      <c r="A93" s="9">
        <v>7</v>
      </c>
      <c r="B93" s="10" t="str">
        <f t="shared" si="4"/>
        <v>20240314</v>
      </c>
      <c r="C93" s="11" t="str">
        <f>"2420209326"</f>
        <v>2420209326</v>
      </c>
      <c r="D93" s="11" t="str">
        <f>"093"</f>
        <v>093</v>
      </c>
      <c r="E93" s="11" t="str">
        <f>"26"</f>
        <v>26</v>
      </c>
      <c r="F93" s="12" t="s">
        <v>64</v>
      </c>
      <c r="G93" s="12">
        <v>85</v>
      </c>
      <c r="H93" s="19">
        <v>70.8333333333333</v>
      </c>
      <c r="I93" s="12">
        <v>83.5</v>
      </c>
      <c r="J93" s="19">
        <v>69.5833333333333</v>
      </c>
      <c r="K93" s="12"/>
      <c r="L93" s="20">
        <v>70.2083333333333</v>
      </c>
      <c r="M93" s="35">
        <v>85.18</v>
      </c>
      <c r="N93" s="35">
        <v>76.2</v>
      </c>
      <c r="O93" s="21"/>
    </row>
    <row r="94" spans="1:15" ht="24" customHeight="1">
      <c r="A94" s="9">
        <v>8</v>
      </c>
      <c r="B94" s="10" t="str">
        <f t="shared" si="4"/>
        <v>20240314</v>
      </c>
      <c r="C94" s="11" t="str">
        <f>"2420209225"</f>
        <v>2420209225</v>
      </c>
      <c r="D94" s="11" t="str">
        <f>"092"</f>
        <v>092</v>
      </c>
      <c r="E94" s="11" t="str">
        <f>"25"</f>
        <v>25</v>
      </c>
      <c r="F94" s="12" t="s">
        <v>64</v>
      </c>
      <c r="G94" s="12">
        <v>91</v>
      </c>
      <c r="H94" s="19">
        <v>75.8333333333333</v>
      </c>
      <c r="I94" s="12">
        <v>77</v>
      </c>
      <c r="J94" s="19">
        <v>64.1666666666667</v>
      </c>
      <c r="K94" s="12"/>
      <c r="L94" s="20">
        <v>70</v>
      </c>
      <c r="M94" s="35">
        <v>83.34</v>
      </c>
      <c r="N94" s="35">
        <v>75.34</v>
      </c>
      <c r="O94" s="21"/>
    </row>
    <row r="95" spans="1:15" ht="24" customHeight="1">
      <c r="A95" s="9">
        <v>9</v>
      </c>
      <c r="B95" s="10" t="str">
        <f t="shared" si="4"/>
        <v>20240314</v>
      </c>
      <c r="C95" s="11" t="str">
        <f>"2420209626"</f>
        <v>2420209626</v>
      </c>
      <c r="D95" s="11" t="str">
        <f>"096"</f>
        <v>096</v>
      </c>
      <c r="E95" s="11" t="str">
        <f>"26"</f>
        <v>26</v>
      </c>
      <c r="F95" s="12" t="s">
        <v>64</v>
      </c>
      <c r="G95" s="12">
        <v>78</v>
      </c>
      <c r="H95" s="19">
        <v>65</v>
      </c>
      <c r="I95" s="12">
        <v>90</v>
      </c>
      <c r="J95" s="19">
        <v>75</v>
      </c>
      <c r="K95" s="12"/>
      <c r="L95" s="20">
        <v>70</v>
      </c>
      <c r="M95" s="35">
        <v>82.44</v>
      </c>
      <c r="N95" s="35">
        <v>74.98</v>
      </c>
      <c r="O95" s="21"/>
    </row>
    <row r="96" spans="1:15" ht="24" customHeight="1">
      <c r="A96" s="9">
        <v>10</v>
      </c>
      <c r="B96" s="10" t="s">
        <v>65</v>
      </c>
      <c r="C96" s="11" t="s">
        <v>68</v>
      </c>
      <c r="D96" s="11" t="s">
        <v>67</v>
      </c>
      <c r="E96" s="11" t="s">
        <v>37</v>
      </c>
      <c r="F96" s="12" t="s">
        <v>64</v>
      </c>
      <c r="G96" s="12">
        <v>72</v>
      </c>
      <c r="H96" s="19">
        <v>60</v>
      </c>
      <c r="I96" s="12">
        <v>93</v>
      </c>
      <c r="J96" s="19">
        <v>77.5</v>
      </c>
      <c r="K96" s="12"/>
      <c r="L96" s="20">
        <v>68.75</v>
      </c>
      <c r="M96" s="35">
        <v>83.18</v>
      </c>
      <c r="N96" s="35">
        <v>74.52</v>
      </c>
      <c r="O96" s="21"/>
    </row>
    <row r="97" spans="1:15" ht="24" customHeight="1">
      <c r="A97" s="9">
        <v>11</v>
      </c>
      <c r="B97" s="10" t="str">
        <f>"20240314"</f>
        <v>20240314</v>
      </c>
      <c r="C97" s="11" t="str">
        <f>"2420209413"</f>
        <v>2420209413</v>
      </c>
      <c r="D97" s="11" t="str">
        <f>"094"</f>
        <v>094</v>
      </c>
      <c r="E97" s="11" t="str">
        <f>"13"</f>
        <v>13</v>
      </c>
      <c r="F97" s="12" t="s">
        <v>64</v>
      </c>
      <c r="G97" s="12">
        <v>76</v>
      </c>
      <c r="H97" s="19">
        <v>63.3333333333333</v>
      </c>
      <c r="I97" s="12">
        <v>94.5</v>
      </c>
      <c r="J97" s="19">
        <v>78.75</v>
      </c>
      <c r="K97" s="12"/>
      <c r="L97" s="20">
        <v>71.0416666666667</v>
      </c>
      <c r="M97" s="35">
        <v>78.900000000000006</v>
      </c>
      <c r="N97" s="35">
        <v>74.19</v>
      </c>
      <c r="O97" s="21"/>
    </row>
    <row r="98" spans="1:15" ht="24" customHeight="1">
      <c r="A98" s="9">
        <v>12</v>
      </c>
      <c r="B98" s="10" t="s">
        <v>65</v>
      </c>
      <c r="C98" s="11" t="s">
        <v>66</v>
      </c>
      <c r="D98" s="11" t="s">
        <v>67</v>
      </c>
      <c r="E98" s="11" t="s">
        <v>32</v>
      </c>
      <c r="F98" s="12" t="s">
        <v>64</v>
      </c>
      <c r="G98" s="12">
        <v>78.5</v>
      </c>
      <c r="H98" s="19">
        <v>65.4166666666667</v>
      </c>
      <c r="I98" s="12">
        <v>88</v>
      </c>
      <c r="J98" s="19">
        <v>73.3333333333333</v>
      </c>
      <c r="K98" s="12"/>
      <c r="L98" s="20">
        <v>69.375</v>
      </c>
      <c r="M98" s="35">
        <v>80.22</v>
      </c>
      <c r="N98" s="35">
        <v>73.709999999999994</v>
      </c>
      <c r="O98" s="21"/>
    </row>
    <row r="99" spans="1:15" ht="24" customHeight="1">
      <c r="A99" s="9">
        <v>13</v>
      </c>
      <c r="B99" s="10" t="str">
        <f>"20240314"</f>
        <v>20240314</v>
      </c>
      <c r="C99" s="11" t="str">
        <f>"2420209208"</f>
        <v>2420209208</v>
      </c>
      <c r="D99" s="11" t="str">
        <f>"092"</f>
        <v>092</v>
      </c>
      <c r="E99" s="11" t="str">
        <f>"08"</f>
        <v>08</v>
      </c>
      <c r="F99" s="12" t="s">
        <v>64</v>
      </c>
      <c r="G99" s="12">
        <v>82.5</v>
      </c>
      <c r="H99" s="19">
        <v>68.75</v>
      </c>
      <c r="I99" s="12">
        <v>101.5</v>
      </c>
      <c r="J99" s="19">
        <v>84.5833333333333</v>
      </c>
      <c r="K99" s="12"/>
      <c r="L99" s="20">
        <v>76.6666666666667</v>
      </c>
      <c r="M99" s="40" t="s">
        <v>95</v>
      </c>
      <c r="N99" s="35">
        <v>46</v>
      </c>
      <c r="O99" s="21"/>
    </row>
    <row r="100" spans="1:15" ht="24" customHeight="1">
      <c r="A100" s="9">
        <v>14</v>
      </c>
      <c r="B100" s="10" t="str">
        <f>"20240314"</f>
        <v>20240314</v>
      </c>
      <c r="C100" s="11" t="str">
        <f>"2420209703"</f>
        <v>2420209703</v>
      </c>
      <c r="D100" s="11" t="str">
        <f>"097"</f>
        <v>097</v>
      </c>
      <c r="E100" s="11" t="str">
        <f>"03"</f>
        <v>03</v>
      </c>
      <c r="F100" s="12" t="s">
        <v>64</v>
      </c>
      <c r="G100" s="12">
        <v>82</v>
      </c>
      <c r="H100" s="19">
        <v>68.3333333333333</v>
      </c>
      <c r="I100" s="12">
        <v>92</v>
      </c>
      <c r="J100" s="19">
        <v>76.6666666666667</v>
      </c>
      <c r="K100" s="12"/>
      <c r="L100" s="20">
        <v>72.5</v>
      </c>
      <c r="M100" s="40" t="s">
        <v>95</v>
      </c>
      <c r="N100" s="35">
        <v>43.5</v>
      </c>
      <c r="O100" s="21"/>
    </row>
    <row r="101" spans="1:15" s="3" customFormat="1" ht="24" customHeight="1">
      <c r="A101" s="9">
        <v>15</v>
      </c>
      <c r="B101" s="11" t="str">
        <f>"20240314"</f>
        <v>20240314</v>
      </c>
      <c r="C101" s="11" t="str">
        <f>"2420209311"</f>
        <v>2420209311</v>
      </c>
      <c r="D101" s="11" t="str">
        <f>"093"</f>
        <v>093</v>
      </c>
      <c r="E101" s="11" t="str">
        <f>"11"</f>
        <v>11</v>
      </c>
      <c r="F101" s="12" t="s">
        <v>64</v>
      </c>
      <c r="G101" s="12">
        <v>78.5</v>
      </c>
      <c r="H101" s="19">
        <v>65.4166666666667</v>
      </c>
      <c r="I101" s="12">
        <v>94</v>
      </c>
      <c r="J101" s="19">
        <v>78.3333333333333</v>
      </c>
      <c r="K101" s="12"/>
      <c r="L101" s="20">
        <v>71.875</v>
      </c>
      <c r="M101" s="40" t="s">
        <v>95</v>
      </c>
      <c r="N101" s="35">
        <v>43.13</v>
      </c>
      <c r="O101" s="21"/>
    </row>
    <row r="102" spans="1:15" s="3" customFormat="1" ht="24" customHeight="1">
      <c r="A102" s="9">
        <v>16</v>
      </c>
      <c r="B102" s="11" t="str">
        <f>"20240314"</f>
        <v>20240314</v>
      </c>
      <c r="C102" s="11" t="str">
        <f>"2420209418"</f>
        <v>2420209418</v>
      </c>
      <c r="D102" s="11" t="str">
        <f>"094"</f>
        <v>094</v>
      </c>
      <c r="E102" s="11" t="str">
        <f>"18"</f>
        <v>18</v>
      </c>
      <c r="F102" s="12" t="s">
        <v>64</v>
      </c>
      <c r="G102" s="12">
        <v>82</v>
      </c>
      <c r="H102" s="19">
        <v>68.3333333333333</v>
      </c>
      <c r="I102" s="12">
        <v>87.5</v>
      </c>
      <c r="J102" s="19">
        <v>72.9166666666667</v>
      </c>
      <c r="K102" s="12"/>
      <c r="L102" s="20">
        <v>70.625</v>
      </c>
      <c r="M102" s="40" t="s">
        <v>95</v>
      </c>
      <c r="N102" s="35">
        <v>42.38</v>
      </c>
      <c r="O102" s="21"/>
    </row>
    <row r="103" spans="1:15" ht="24" customHeight="1">
      <c r="A103" s="2">
        <v>1</v>
      </c>
      <c r="B103" s="6" t="str">
        <f t="shared" ref="B103:B120" si="5">"20240315"</f>
        <v>20240315</v>
      </c>
      <c r="C103" s="7" t="str">
        <f>"2420210303"</f>
        <v>2420210303</v>
      </c>
      <c r="D103" s="7" t="str">
        <f>"103"</f>
        <v>103</v>
      </c>
      <c r="E103" s="7" t="str">
        <f>"03"</f>
        <v>03</v>
      </c>
      <c r="F103" s="8" t="s">
        <v>69</v>
      </c>
      <c r="G103" s="8">
        <v>99.5</v>
      </c>
      <c r="H103" s="18">
        <v>82.9166666666667</v>
      </c>
      <c r="I103" s="8">
        <v>89</v>
      </c>
      <c r="J103" s="18">
        <v>74.1666666666667</v>
      </c>
      <c r="K103" s="8"/>
      <c r="L103" s="27">
        <v>78.5416666666667</v>
      </c>
      <c r="M103" s="36">
        <v>81.12</v>
      </c>
      <c r="N103" s="34">
        <v>79.569999999999993</v>
      </c>
      <c r="O103" s="21"/>
    </row>
    <row r="104" spans="1:15" ht="24" customHeight="1">
      <c r="A104" s="2">
        <v>2</v>
      </c>
      <c r="B104" s="6" t="str">
        <f t="shared" si="5"/>
        <v>20240315</v>
      </c>
      <c r="C104" s="7" t="str">
        <f>"2420210323"</f>
        <v>2420210323</v>
      </c>
      <c r="D104" s="7" t="str">
        <f>"103"</f>
        <v>103</v>
      </c>
      <c r="E104" s="7" t="str">
        <f>"23"</f>
        <v>23</v>
      </c>
      <c r="F104" s="8" t="s">
        <v>69</v>
      </c>
      <c r="G104" s="8">
        <v>94.5</v>
      </c>
      <c r="H104" s="18">
        <v>78.75</v>
      </c>
      <c r="I104" s="8">
        <v>84.5</v>
      </c>
      <c r="J104" s="18">
        <v>70.4166666666667</v>
      </c>
      <c r="K104" s="8"/>
      <c r="L104" s="27">
        <v>74.5833333333333</v>
      </c>
      <c r="M104" s="36">
        <v>83.6</v>
      </c>
      <c r="N104" s="34">
        <v>78.19</v>
      </c>
      <c r="O104" s="21"/>
    </row>
    <row r="105" spans="1:15" ht="24" customHeight="1">
      <c r="A105" s="2">
        <v>3</v>
      </c>
      <c r="B105" s="6" t="str">
        <f t="shared" si="5"/>
        <v>20240315</v>
      </c>
      <c r="C105" s="7" t="str">
        <f>"2420210107"</f>
        <v>2420210107</v>
      </c>
      <c r="D105" s="7" t="str">
        <f>"101"</f>
        <v>101</v>
      </c>
      <c r="E105" s="7" t="str">
        <f>"07"</f>
        <v>07</v>
      </c>
      <c r="F105" s="8" t="s">
        <v>69</v>
      </c>
      <c r="G105" s="8">
        <v>90</v>
      </c>
      <c r="H105" s="18">
        <v>75</v>
      </c>
      <c r="I105" s="8">
        <v>88</v>
      </c>
      <c r="J105" s="18">
        <v>73.3333333333333</v>
      </c>
      <c r="K105" s="8"/>
      <c r="L105" s="27">
        <v>74.1666666666667</v>
      </c>
      <c r="M105" s="36">
        <v>81.2</v>
      </c>
      <c r="N105" s="34">
        <v>76.98</v>
      </c>
      <c r="O105" s="21"/>
    </row>
    <row r="106" spans="1:15" ht="24" customHeight="1">
      <c r="A106" s="2">
        <v>4</v>
      </c>
      <c r="B106" s="6" t="str">
        <f t="shared" si="5"/>
        <v>20240315</v>
      </c>
      <c r="C106" s="7" t="str">
        <f>"2420210226"</f>
        <v>2420210226</v>
      </c>
      <c r="D106" s="7" t="str">
        <f>"102"</f>
        <v>102</v>
      </c>
      <c r="E106" s="7" t="str">
        <f>"26"</f>
        <v>26</v>
      </c>
      <c r="F106" s="8" t="s">
        <v>69</v>
      </c>
      <c r="G106" s="8">
        <v>77</v>
      </c>
      <c r="H106" s="18">
        <v>64.1666666666667</v>
      </c>
      <c r="I106" s="8">
        <v>102</v>
      </c>
      <c r="J106" s="18">
        <v>85</v>
      </c>
      <c r="K106" s="8"/>
      <c r="L106" s="27">
        <v>74.5833333333333</v>
      </c>
      <c r="M106" s="36">
        <v>79.62</v>
      </c>
      <c r="N106" s="34">
        <v>76.599999999999994</v>
      </c>
      <c r="O106" s="21"/>
    </row>
    <row r="107" spans="1:15" ht="24" customHeight="1">
      <c r="A107" s="2">
        <v>5</v>
      </c>
      <c r="B107" s="6" t="str">
        <f t="shared" si="5"/>
        <v>20240315</v>
      </c>
      <c r="C107" s="7" t="str">
        <f>"2420210005"</f>
        <v>2420210005</v>
      </c>
      <c r="D107" s="7" t="str">
        <f>"100"</f>
        <v>100</v>
      </c>
      <c r="E107" s="7" t="str">
        <f>"05"</f>
        <v>05</v>
      </c>
      <c r="F107" s="8" t="s">
        <v>69</v>
      </c>
      <c r="G107" s="8">
        <v>78</v>
      </c>
      <c r="H107" s="18">
        <v>65</v>
      </c>
      <c r="I107" s="8">
        <v>97.5</v>
      </c>
      <c r="J107" s="18">
        <v>81.25</v>
      </c>
      <c r="K107" s="8"/>
      <c r="L107" s="27">
        <v>73.125</v>
      </c>
      <c r="M107" s="36">
        <v>81.38</v>
      </c>
      <c r="N107" s="34">
        <v>76.430000000000007</v>
      </c>
      <c r="O107" s="21"/>
    </row>
    <row r="108" spans="1:15" ht="24" customHeight="1">
      <c r="A108" s="2">
        <v>6</v>
      </c>
      <c r="B108" s="6" t="str">
        <f t="shared" si="5"/>
        <v>20240315</v>
      </c>
      <c r="C108" s="7" t="str">
        <f>"2420210315"</f>
        <v>2420210315</v>
      </c>
      <c r="D108" s="7" t="str">
        <f>"103"</f>
        <v>103</v>
      </c>
      <c r="E108" s="7" t="str">
        <f>"15"</f>
        <v>15</v>
      </c>
      <c r="F108" s="8" t="s">
        <v>69</v>
      </c>
      <c r="G108" s="8">
        <v>80.5</v>
      </c>
      <c r="H108" s="18">
        <v>67.0833333333333</v>
      </c>
      <c r="I108" s="8">
        <v>100.5</v>
      </c>
      <c r="J108" s="18">
        <v>83.75</v>
      </c>
      <c r="K108" s="8"/>
      <c r="L108" s="27">
        <v>75.4166666666667</v>
      </c>
      <c r="M108" s="36">
        <v>77.92</v>
      </c>
      <c r="N108" s="34">
        <v>76.42</v>
      </c>
      <c r="O108" s="21"/>
    </row>
    <row r="109" spans="1:15" ht="24" customHeight="1">
      <c r="A109" s="2">
        <v>7</v>
      </c>
      <c r="B109" s="6" t="str">
        <f t="shared" si="5"/>
        <v>20240315</v>
      </c>
      <c r="C109" s="7" t="str">
        <f>"2420210022"</f>
        <v>2420210022</v>
      </c>
      <c r="D109" s="7" t="str">
        <f>"100"</f>
        <v>100</v>
      </c>
      <c r="E109" s="7" t="str">
        <f>"22"</f>
        <v>22</v>
      </c>
      <c r="F109" s="8" t="s">
        <v>69</v>
      </c>
      <c r="G109" s="8">
        <v>90</v>
      </c>
      <c r="H109" s="18">
        <v>75</v>
      </c>
      <c r="I109" s="8">
        <v>85</v>
      </c>
      <c r="J109" s="18">
        <v>70.8333333333333</v>
      </c>
      <c r="K109" s="8"/>
      <c r="L109" s="27">
        <v>72.9166666666667</v>
      </c>
      <c r="M109" s="36">
        <v>79.7</v>
      </c>
      <c r="N109" s="34">
        <v>75.63</v>
      </c>
      <c r="O109" s="21"/>
    </row>
    <row r="110" spans="1:15" ht="24" customHeight="1">
      <c r="A110" s="2">
        <v>8</v>
      </c>
      <c r="B110" s="6" t="str">
        <f t="shared" si="5"/>
        <v>20240315</v>
      </c>
      <c r="C110" s="7" t="str">
        <f>"2420210008"</f>
        <v>2420210008</v>
      </c>
      <c r="D110" s="7" t="str">
        <f>"100"</f>
        <v>100</v>
      </c>
      <c r="E110" s="7" t="str">
        <f>"08"</f>
        <v>08</v>
      </c>
      <c r="F110" s="8" t="s">
        <v>69</v>
      </c>
      <c r="G110" s="8">
        <v>81.5</v>
      </c>
      <c r="H110" s="18">
        <v>67.9166666666667</v>
      </c>
      <c r="I110" s="8">
        <v>94</v>
      </c>
      <c r="J110" s="18">
        <v>78.3333333333333</v>
      </c>
      <c r="K110" s="8"/>
      <c r="L110" s="27">
        <v>73.125</v>
      </c>
      <c r="M110" s="36">
        <v>79.22</v>
      </c>
      <c r="N110" s="34">
        <v>75.56</v>
      </c>
      <c r="O110" s="21"/>
    </row>
    <row r="111" spans="1:15" ht="24" customHeight="1">
      <c r="A111" s="2">
        <v>9</v>
      </c>
      <c r="B111" s="6" t="str">
        <f t="shared" si="5"/>
        <v>20240315</v>
      </c>
      <c r="C111" s="7" t="str">
        <f>"2420209826"</f>
        <v>2420209826</v>
      </c>
      <c r="D111" s="7" t="str">
        <f>"098"</f>
        <v>098</v>
      </c>
      <c r="E111" s="7" t="str">
        <f>"26"</f>
        <v>26</v>
      </c>
      <c r="F111" s="8" t="s">
        <v>69</v>
      </c>
      <c r="G111" s="8">
        <v>69.5</v>
      </c>
      <c r="H111" s="18">
        <v>57.9166666666667</v>
      </c>
      <c r="I111" s="8">
        <v>103</v>
      </c>
      <c r="J111" s="18">
        <v>85.8333333333333</v>
      </c>
      <c r="K111" s="8"/>
      <c r="L111" s="27">
        <v>71.875</v>
      </c>
      <c r="M111" s="36">
        <v>80.099999999999994</v>
      </c>
      <c r="N111" s="34">
        <v>75.17</v>
      </c>
      <c r="O111" s="21"/>
    </row>
    <row r="112" spans="1:15" ht="24" customHeight="1">
      <c r="A112" s="2">
        <v>10</v>
      </c>
      <c r="B112" s="6" t="str">
        <f t="shared" si="5"/>
        <v>20240315</v>
      </c>
      <c r="C112" s="7" t="str">
        <f>"2420209825"</f>
        <v>2420209825</v>
      </c>
      <c r="D112" s="7" t="str">
        <f>"098"</f>
        <v>098</v>
      </c>
      <c r="E112" s="7" t="str">
        <f>"25"</f>
        <v>25</v>
      </c>
      <c r="F112" s="8" t="s">
        <v>69</v>
      </c>
      <c r="G112" s="8">
        <v>81</v>
      </c>
      <c r="H112" s="18">
        <v>67.5</v>
      </c>
      <c r="I112" s="8">
        <v>90.5</v>
      </c>
      <c r="J112" s="18">
        <v>75.4166666666667</v>
      </c>
      <c r="K112" s="8"/>
      <c r="L112" s="27">
        <v>71.4583333333333</v>
      </c>
      <c r="M112" s="36">
        <v>80</v>
      </c>
      <c r="N112" s="34">
        <v>74.88</v>
      </c>
      <c r="O112" s="21"/>
    </row>
    <row r="113" spans="1:15" ht="24" customHeight="1">
      <c r="A113" s="2">
        <v>11</v>
      </c>
      <c r="B113" s="6" t="str">
        <f t="shared" si="5"/>
        <v>20240315</v>
      </c>
      <c r="C113" s="7" t="str">
        <f>"2420209905"</f>
        <v>2420209905</v>
      </c>
      <c r="D113" s="7" t="str">
        <f>"099"</f>
        <v>099</v>
      </c>
      <c r="E113" s="7" t="str">
        <f>"05"</f>
        <v>05</v>
      </c>
      <c r="F113" s="8" t="s">
        <v>69</v>
      </c>
      <c r="G113" s="8">
        <v>89.5</v>
      </c>
      <c r="H113" s="18">
        <v>74.5833333333333</v>
      </c>
      <c r="I113" s="8">
        <v>83.5</v>
      </c>
      <c r="J113" s="18">
        <v>69.5833333333333</v>
      </c>
      <c r="K113" s="8"/>
      <c r="L113" s="27">
        <v>72.0833333333333</v>
      </c>
      <c r="M113" s="36">
        <v>78.52</v>
      </c>
      <c r="N113" s="34">
        <v>74.66</v>
      </c>
      <c r="O113" s="21"/>
    </row>
    <row r="114" spans="1:15" ht="24" customHeight="1">
      <c r="A114" s="2">
        <v>12</v>
      </c>
      <c r="B114" s="6" t="str">
        <f t="shared" si="5"/>
        <v>20240315</v>
      </c>
      <c r="C114" s="7" t="str">
        <f>"2420210006"</f>
        <v>2420210006</v>
      </c>
      <c r="D114" s="7" t="str">
        <f>"100"</f>
        <v>100</v>
      </c>
      <c r="E114" s="7" t="str">
        <f>"06"</f>
        <v>06</v>
      </c>
      <c r="F114" s="8" t="s">
        <v>69</v>
      </c>
      <c r="G114" s="8">
        <v>79</v>
      </c>
      <c r="H114" s="18">
        <v>65.8333333333333</v>
      </c>
      <c r="I114" s="8">
        <v>96</v>
      </c>
      <c r="J114" s="18">
        <v>80</v>
      </c>
      <c r="K114" s="8"/>
      <c r="L114" s="27">
        <v>72.9166666666667</v>
      </c>
      <c r="M114" s="36">
        <v>76.7</v>
      </c>
      <c r="N114" s="34">
        <v>74.430000000000007</v>
      </c>
      <c r="O114" s="21"/>
    </row>
    <row r="115" spans="1:15" ht="24" customHeight="1">
      <c r="A115" s="2">
        <v>13</v>
      </c>
      <c r="B115" s="6" t="str">
        <f t="shared" si="5"/>
        <v>20240315</v>
      </c>
      <c r="C115" s="7" t="str">
        <f>"2420210024"</f>
        <v>2420210024</v>
      </c>
      <c r="D115" s="7" t="str">
        <f>"100"</f>
        <v>100</v>
      </c>
      <c r="E115" s="7" t="str">
        <f>"24"</f>
        <v>24</v>
      </c>
      <c r="F115" s="8" t="s">
        <v>69</v>
      </c>
      <c r="G115" s="8">
        <v>90.5</v>
      </c>
      <c r="H115" s="18">
        <v>75.4166666666667</v>
      </c>
      <c r="I115" s="8">
        <v>82</v>
      </c>
      <c r="J115" s="18">
        <v>68.3333333333333</v>
      </c>
      <c r="K115" s="8"/>
      <c r="L115" s="27">
        <v>71.875</v>
      </c>
      <c r="M115" s="36">
        <v>75.08</v>
      </c>
      <c r="N115" s="34">
        <v>73.16</v>
      </c>
      <c r="O115" s="21"/>
    </row>
    <row r="116" spans="1:15" ht="24" customHeight="1">
      <c r="A116" s="2">
        <v>14</v>
      </c>
      <c r="B116" s="6" t="str">
        <f t="shared" si="5"/>
        <v>20240315</v>
      </c>
      <c r="C116" s="7" t="str">
        <f>"2420210305"</f>
        <v>2420210305</v>
      </c>
      <c r="D116" s="7" t="str">
        <f>"103"</f>
        <v>103</v>
      </c>
      <c r="E116" s="7" t="str">
        <f>"05"</f>
        <v>05</v>
      </c>
      <c r="F116" s="8" t="s">
        <v>69</v>
      </c>
      <c r="G116" s="8">
        <v>88.5</v>
      </c>
      <c r="H116" s="18">
        <v>73.75</v>
      </c>
      <c r="I116" s="8">
        <v>91.5</v>
      </c>
      <c r="J116" s="18">
        <v>76.25</v>
      </c>
      <c r="K116" s="8"/>
      <c r="L116" s="27">
        <v>75</v>
      </c>
      <c r="M116" s="39" t="s">
        <v>95</v>
      </c>
      <c r="N116" s="34">
        <v>45</v>
      </c>
      <c r="O116" s="21"/>
    </row>
    <row r="117" spans="1:15" ht="24" customHeight="1">
      <c r="A117" s="2">
        <v>15</v>
      </c>
      <c r="B117" s="6" t="str">
        <f t="shared" si="5"/>
        <v>20240315</v>
      </c>
      <c r="C117" s="7" t="str">
        <f>"2420209827"</f>
        <v>2420209827</v>
      </c>
      <c r="D117" s="7" t="str">
        <f>"098"</f>
        <v>098</v>
      </c>
      <c r="E117" s="7" t="str">
        <f>"27"</f>
        <v>27</v>
      </c>
      <c r="F117" s="8" t="s">
        <v>69</v>
      </c>
      <c r="G117" s="8">
        <v>94.5</v>
      </c>
      <c r="H117" s="18">
        <v>78.75</v>
      </c>
      <c r="I117" s="8">
        <v>83</v>
      </c>
      <c r="J117" s="18">
        <v>69.1666666666667</v>
      </c>
      <c r="K117" s="8"/>
      <c r="L117" s="27">
        <v>73.9583333333333</v>
      </c>
      <c r="M117" s="39" t="s">
        <v>95</v>
      </c>
      <c r="N117" s="34">
        <v>44.38</v>
      </c>
      <c r="O117" s="21"/>
    </row>
    <row r="118" spans="1:15" ht="24" customHeight="1">
      <c r="A118" s="2">
        <v>16</v>
      </c>
      <c r="B118" s="6" t="str">
        <f t="shared" si="5"/>
        <v>20240315</v>
      </c>
      <c r="C118" s="7" t="str">
        <f>"2420210219"</f>
        <v>2420210219</v>
      </c>
      <c r="D118" s="7" t="str">
        <f>"102"</f>
        <v>102</v>
      </c>
      <c r="E118" s="7" t="str">
        <f>"19"</f>
        <v>19</v>
      </c>
      <c r="F118" s="8" t="s">
        <v>69</v>
      </c>
      <c r="G118" s="8">
        <v>86</v>
      </c>
      <c r="H118" s="18">
        <v>71.6666666666667</v>
      </c>
      <c r="I118" s="8">
        <v>86</v>
      </c>
      <c r="J118" s="18">
        <v>71.6666666666667</v>
      </c>
      <c r="K118" s="8"/>
      <c r="L118" s="27">
        <v>71.6666666666667</v>
      </c>
      <c r="M118" s="39" t="s">
        <v>95</v>
      </c>
      <c r="N118" s="34">
        <v>43</v>
      </c>
      <c r="O118" s="21"/>
    </row>
    <row r="119" spans="1:15" ht="24" customHeight="1">
      <c r="A119" s="2">
        <v>17</v>
      </c>
      <c r="B119" s="6" t="str">
        <f t="shared" si="5"/>
        <v>20240315</v>
      </c>
      <c r="C119" s="7" t="str">
        <f>"2420209902"</f>
        <v>2420209902</v>
      </c>
      <c r="D119" s="7" t="str">
        <f>"099"</f>
        <v>099</v>
      </c>
      <c r="E119" s="7" t="str">
        <f>"02"</f>
        <v>02</v>
      </c>
      <c r="F119" s="8" t="s">
        <v>69</v>
      </c>
      <c r="G119" s="8">
        <v>98</v>
      </c>
      <c r="H119" s="18">
        <v>81.6666666666667</v>
      </c>
      <c r="I119" s="8">
        <v>73.5</v>
      </c>
      <c r="J119" s="18">
        <v>61.25</v>
      </c>
      <c r="K119" s="8"/>
      <c r="L119" s="27">
        <v>71.4583333333333</v>
      </c>
      <c r="M119" s="39" t="s">
        <v>95</v>
      </c>
      <c r="N119" s="34">
        <v>42.88</v>
      </c>
      <c r="O119" s="21"/>
    </row>
    <row r="120" spans="1:15" ht="24" customHeight="1">
      <c r="A120" s="2">
        <v>18</v>
      </c>
      <c r="B120" s="6" t="str">
        <f t="shared" si="5"/>
        <v>20240315</v>
      </c>
      <c r="C120" s="7" t="str">
        <f>"2420210120"</f>
        <v>2420210120</v>
      </c>
      <c r="D120" s="7" t="str">
        <f>"101"</f>
        <v>101</v>
      </c>
      <c r="E120" s="7" t="str">
        <f>"20"</f>
        <v>20</v>
      </c>
      <c r="F120" s="8" t="s">
        <v>69</v>
      </c>
      <c r="G120" s="8">
        <v>71.5</v>
      </c>
      <c r="H120" s="18">
        <v>59.5833333333333</v>
      </c>
      <c r="I120" s="8">
        <v>100</v>
      </c>
      <c r="J120" s="18">
        <v>83.3333333333333</v>
      </c>
      <c r="K120" s="8"/>
      <c r="L120" s="27">
        <v>71.4583333333333</v>
      </c>
      <c r="M120" s="39" t="s">
        <v>95</v>
      </c>
      <c r="N120" s="34">
        <v>42.88</v>
      </c>
      <c r="O120" s="21"/>
    </row>
    <row r="121" spans="1:15" ht="24" customHeight="1">
      <c r="A121" s="9">
        <v>1</v>
      </c>
      <c r="B121" s="10" t="str">
        <f>"20240316"</f>
        <v>20240316</v>
      </c>
      <c r="C121" s="11" t="str">
        <f>"2420210417"</f>
        <v>2420210417</v>
      </c>
      <c r="D121" s="11" t="str">
        <f>"104"</f>
        <v>104</v>
      </c>
      <c r="E121" s="11" t="str">
        <f>"17"</f>
        <v>17</v>
      </c>
      <c r="F121" s="12" t="s">
        <v>70</v>
      </c>
      <c r="G121" s="12">
        <v>80.5</v>
      </c>
      <c r="H121" s="19">
        <v>67.0833333333333</v>
      </c>
      <c r="I121" s="12">
        <v>83.8</v>
      </c>
      <c r="J121" s="19">
        <v>69.8333333333333</v>
      </c>
      <c r="K121" s="12"/>
      <c r="L121" s="20">
        <v>68.4583333333333</v>
      </c>
      <c r="M121" s="35">
        <v>79.38</v>
      </c>
      <c r="N121" s="35">
        <v>72.83</v>
      </c>
      <c r="O121" s="21"/>
    </row>
    <row r="122" spans="1:15" ht="24" customHeight="1">
      <c r="A122" s="9">
        <v>2</v>
      </c>
      <c r="B122" s="10" t="str">
        <f>"20240316"</f>
        <v>20240316</v>
      </c>
      <c r="C122" s="11" t="str">
        <f>"2420210524"</f>
        <v>2420210524</v>
      </c>
      <c r="D122" s="11" t="str">
        <f>"105"</f>
        <v>105</v>
      </c>
      <c r="E122" s="11" t="str">
        <f>"24"</f>
        <v>24</v>
      </c>
      <c r="F122" s="12" t="s">
        <v>70</v>
      </c>
      <c r="G122" s="12">
        <v>91.5</v>
      </c>
      <c r="H122" s="19">
        <v>76.25</v>
      </c>
      <c r="I122" s="12">
        <v>68.599999999999994</v>
      </c>
      <c r="J122" s="19">
        <v>57.1666666666667</v>
      </c>
      <c r="K122" s="12"/>
      <c r="L122" s="20">
        <v>66.7083333333333</v>
      </c>
      <c r="M122" s="35">
        <v>78.7</v>
      </c>
      <c r="N122" s="35">
        <v>71.510000000000005</v>
      </c>
      <c r="O122" s="21"/>
    </row>
    <row r="123" spans="1:15" ht="24" customHeight="1">
      <c r="A123" s="9">
        <v>3</v>
      </c>
      <c r="B123" s="10" t="str">
        <f>"20240316"</f>
        <v>20240316</v>
      </c>
      <c r="C123" s="11" t="str">
        <f>"2420210415"</f>
        <v>2420210415</v>
      </c>
      <c r="D123" s="11" t="str">
        <f>"104"</f>
        <v>104</v>
      </c>
      <c r="E123" s="11" t="str">
        <f>"15"</f>
        <v>15</v>
      </c>
      <c r="F123" s="12" t="s">
        <v>70</v>
      </c>
      <c r="G123" s="12">
        <v>84.5</v>
      </c>
      <c r="H123" s="19">
        <v>70.4166666666667</v>
      </c>
      <c r="I123" s="12">
        <v>70.8</v>
      </c>
      <c r="J123" s="19">
        <v>59</v>
      </c>
      <c r="K123" s="12"/>
      <c r="L123" s="20">
        <v>64.7083333333333</v>
      </c>
      <c r="M123" s="35">
        <v>80.36</v>
      </c>
      <c r="N123" s="35">
        <v>70.97</v>
      </c>
      <c r="O123" s="21"/>
    </row>
    <row r="124" spans="1:15" ht="24" customHeight="1">
      <c r="A124" s="9">
        <v>4</v>
      </c>
      <c r="B124" s="10" t="str">
        <f>"20240316"</f>
        <v>20240316</v>
      </c>
      <c r="C124" s="11" t="str">
        <f>"2420210514"</f>
        <v>2420210514</v>
      </c>
      <c r="D124" s="11" t="str">
        <f>"105"</f>
        <v>105</v>
      </c>
      <c r="E124" s="11" t="str">
        <f>"14"</f>
        <v>14</v>
      </c>
      <c r="F124" s="12" t="s">
        <v>70</v>
      </c>
      <c r="G124" s="12">
        <v>77.5</v>
      </c>
      <c r="H124" s="19">
        <v>64.5833333333333</v>
      </c>
      <c r="I124" s="12">
        <v>72.599999999999994</v>
      </c>
      <c r="J124" s="19">
        <v>60.5</v>
      </c>
      <c r="K124" s="12"/>
      <c r="L124" s="20">
        <v>62.5416666666667</v>
      </c>
      <c r="M124" s="35">
        <v>80.540000000000006</v>
      </c>
      <c r="N124" s="35">
        <v>69.739999999999995</v>
      </c>
      <c r="O124" s="21"/>
    </row>
    <row r="125" spans="1:15" ht="24" customHeight="1">
      <c r="A125" s="9">
        <v>5</v>
      </c>
      <c r="B125" s="10" t="str">
        <f>"20240316"</f>
        <v>20240316</v>
      </c>
      <c r="C125" s="11" t="str">
        <f>"2420210401"</f>
        <v>2420210401</v>
      </c>
      <c r="D125" s="11" t="str">
        <f>"104"</f>
        <v>104</v>
      </c>
      <c r="E125" s="11" t="str">
        <f>"01"</f>
        <v>01</v>
      </c>
      <c r="F125" s="12" t="s">
        <v>70</v>
      </c>
      <c r="G125" s="12">
        <v>78.5</v>
      </c>
      <c r="H125" s="19">
        <v>65.4166666666667</v>
      </c>
      <c r="I125" s="12">
        <v>73.2</v>
      </c>
      <c r="J125" s="19">
        <v>61</v>
      </c>
      <c r="K125" s="12"/>
      <c r="L125" s="20">
        <v>63.2083333333333</v>
      </c>
      <c r="M125" s="35">
        <v>77.36</v>
      </c>
      <c r="N125" s="35">
        <v>68.87</v>
      </c>
      <c r="O125" s="21"/>
    </row>
    <row r="126" spans="1:15" ht="24" customHeight="1">
      <c r="A126" s="2">
        <v>1</v>
      </c>
      <c r="B126" s="6" t="str">
        <f>"20240317"</f>
        <v>20240317</v>
      </c>
      <c r="C126" s="7" t="str">
        <f>"2420210818"</f>
        <v>2420210818</v>
      </c>
      <c r="D126" s="7" t="str">
        <f>"108"</f>
        <v>108</v>
      </c>
      <c r="E126" s="7" t="str">
        <f>"18"</f>
        <v>18</v>
      </c>
      <c r="F126" s="8" t="s">
        <v>71</v>
      </c>
      <c r="G126" s="8">
        <v>86</v>
      </c>
      <c r="H126" s="18">
        <v>71.6666666666667</v>
      </c>
      <c r="I126" s="8">
        <v>95.5</v>
      </c>
      <c r="J126" s="18">
        <v>79.5833333333333</v>
      </c>
      <c r="K126" s="8"/>
      <c r="L126" s="27">
        <v>75.625</v>
      </c>
      <c r="M126" s="36">
        <v>84.56</v>
      </c>
      <c r="N126" s="34">
        <v>79.2</v>
      </c>
      <c r="O126" s="21"/>
    </row>
    <row r="127" spans="1:15" ht="24" customHeight="1">
      <c r="A127" s="2">
        <v>2</v>
      </c>
      <c r="B127" s="6" t="str">
        <f>"20240317"</f>
        <v>20240317</v>
      </c>
      <c r="C127" s="7" t="str">
        <f>"2420210809"</f>
        <v>2420210809</v>
      </c>
      <c r="D127" s="7" t="str">
        <f>"108"</f>
        <v>108</v>
      </c>
      <c r="E127" s="7" t="str">
        <f>"09"</f>
        <v>09</v>
      </c>
      <c r="F127" s="8" t="s">
        <v>71</v>
      </c>
      <c r="G127" s="8">
        <v>60.5</v>
      </c>
      <c r="H127" s="18">
        <v>50.4166666666667</v>
      </c>
      <c r="I127" s="8">
        <v>106.3</v>
      </c>
      <c r="J127" s="18">
        <v>88.5833333333333</v>
      </c>
      <c r="K127" s="8"/>
      <c r="L127" s="27">
        <v>69.5</v>
      </c>
      <c r="M127" s="36">
        <v>86.78</v>
      </c>
      <c r="N127" s="34">
        <v>76.41</v>
      </c>
      <c r="O127" s="21"/>
    </row>
    <row r="128" spans="1:15" ht="24" customHeight="1">
      <c r="A128" s="2">
        <v>3</v>
      </c>
      <c r="B128" s="6" t="s">
        <v>72</v>
      </c>
      <c r="C128" s="7" t="s">
        <v>76</v>
      </c>
      <c r="D128" s="7" t="s">
        <v>74</v>
      </c>
      <c r="E128" s="7" t="s">
        <v>13</v>
      </c>
      <c r="F128" s="8" t="s">
        <v>71</v>
      </c>
      <c r="G128" s="8">
        <v>70.5</v>
      </c>
      <c r="H128" s="18">
        <v>58.75</v>
      </c>
      <c r="I128" s="8">
        <v>88.6</v>
      </c>
      <c r="J128" s="18">
        <v>73.8333333333333</v>
      </c>
      <c r="K128" s="8"/>
      <c r="L128" s="27">
        <v>66.2916666666667</v>
      </c>
      <c r="M128" s="36">
        <v>84.04</v>
      </c>
      <c r="N128" s="34">
        <v>73.39</v>
      </c>
      <c r="O128" s="21"/>
    </row>
    <row r="129" spans="1:15" ht="24" customHeight="1">
      <c r="A129" s="2">
        <v>4</v>
      </c>
      <c r="B129" s="6" t="str">
        <f>"20240317"</f>
        <v>20240317</v>
      </c>
      <c r="C129" s="7" t="str">
        <f>"2420210905"</f>
        <v>2420210905</v>
      </c>
      <c r="D129" s="7" t="str">
        <f>"109"</f>
        <v>109</v>
      </c>
      <c r="E129" s="7" t="str">
        <f>"05"</f>
        <v>05</v>
      </c>
      <c r="F129" s="8" t="s">
        <v>71</v>
      </c>
      <c r="G129" s="8">
        <v>68</v>
      </c>
      <c r="H129" s="18">
        <v>56.6666666666667</v>
      </c>
      <c r="I129" s="8">
        <v>106.7</v>
      </c>
      <c r="J129" s="18">
        <v>88.9166666666667</v>
      </c>
      <c r="K129" s="8"/>
      <c r="L129" s="27">
        <v>72.7916666666667</v>
      </c>
      <c r="M129" s="39" t="s">
        <v>95</v>
      </c>
      <c r="N129" s="34">
        <v>43.68</v>
      </c>
      <c r="O129" s="21"/>
    </row>
    <row r="130" spans="1:15" ht="24" customHeight="1">
      <c r="A130" s="2">
        <v>5</v>
      </c>
      <c r="B130" s="6" t="str">
        <f>"20240317"</f>
        <v>20240317</v>
      </c>
      <c r="C130" s="7" t="str">
        <f>"2420210913"</f>
        <v>2420210913</v>
      </c>
      <c r="D130" s="7" t="str">
        <f>"109"</f>
        <v>109</v>
      </c>
      <c r="E130" s="7" t="str">
        <f>"13"</f>
        <v>13</v>
      </c>
      <c r="F130" s="8" t="s">
        <v>71</v>
      </c>
      <c r="G130" s="8">
        <v>100.5</v>
      </c>
      <c r="H130" s="18">
        <v>83.75</v>
      </c>
      <c r="I130" s="8">
        <v>73.3</v>
      </c>
      <c r="J130" s="18">
        <v>61.0833333333333</v>
      </c>
      <c r="K130" s="8"/>
      <c r="L130" s="27">
        <v>72.4166666666667</v>
      </c>
      <c r="M130" s="39" t="s">
        <v>95</v>
      </c>
      <c r="N130" s="34">
        <v>43.45</v>
      </c>
      <c r="O130" s="21"/>
    </row>
    <row r="131" spans="1:15" ht="24" customHeight="1">
      <c r="A131" s="2">
        <v>6</v>
      </c>
      <c r="B131" s="6" t="str">
        <f>"20240317"</f>
        <v>20240317</v>
      </c>
      <c r="C131" s="7" t="str">
        <f>"2420210911"</f>
        <v>2420210911</v>
      </c>
      <c r="D131" s="7" t="str">
        <f>"109"</f>
        <v>109</v>
      </c>
      <c r="E131" s="7" t="str">
        <f>"11"</f>
        <v>11</v>
      </c>
      <c r="F131" s="8" t="s">
        <v>71</v>
      </c>
      <c r="G131" s="8">
        <v>60.5</v>
      </c>
      <c r="H131" s="18">
        <v>50.4166666666667</v>
      </c>
      <c r="I131" s="8">
        <v>109.9</v>
      </c>
      <c r="J131" s="18">
        <v>91.5833333333333</v>
      </c>
      <c r="K131" s="8"/>
      <c r="L131" s="27">
        <v>71</v>
      </c>
      <c r="M131" s="39" t="s">
        <v>95</v>
      </c>
      <c r="N131" s="34">
        <v>42.6</v>
      </c>
      <c r="O131" s="21"/>
    </row>
    <row r="132" spans="1:15" s="3" customFormat="1" ht="24" customHeight="1">
      <c r="A132" s="2">
        <v>7</v>
      </c>
      <c r="B132" s="7" t="str">
        <f>"20240317"</f>
        <v>20240317</v>
      </c>
      <c r="C132" s="7" t="str">
        <f>"2420210924"</f>
        <v>2420210924</v>
      </c>
      <c r="D132" s="7" t="str">
        <f>"109"</f>
        <v>109</v>
      </c>
      <c r="E132" s="7" t="str">
        <f>"24"</f>
        <v>24</v>
      </c>
      <c r="F132" s="8" t="s">
        <v>71</v>
      </c>
      <c r="G132" s="8">
        <v>80</v>
      </c>
      <c r="H132" s="18">
        <v>66.6666666666667</v>
      </c>
      <c r="I132" s="8">
        <v>87.5</v>
      </c>
      <c r="J132" s="18">
        <v>72.9166666666667</v>
      </c>
      <c r="K132" s="8"/>
      <c r="L132" s="27">
        <v>69.7916666666667</v>
      </c>
      <c r="M132" s="39" t="s">
        <v>95</v>
      </c>
      <c r="N132" s="34">
        <v>41.88</v>
      </c>
      <c r="O132" s="21"/>
    </row>
    <row r="133" spans="1:15" s="3" customFormat="1" ht="24" customHeight="1">
      <c r="A133" s="2">
        <v>8</v>
      </c>
      <c r="B133" s="7" t="s">
        <v>72</v>
      </c>
      <c r="C133" s="7" t="s">
        <v>73</v>
      </c>
      <c r="D133" s="7" t="s">
        <v>74</v>
      </c>
      <c r="E133" s="7" t="s">
        <v>75</v>
      </c>
      <c r="F133" s="8" t="s">
        <v>71</v>
      </c>
      <c r="G133" s="8">
        <v>62</v>
      </c>
      <c r="H133" s="18">
        <v>51.6666666666667</v>
      </c>
      <c r="I133" s="8">
        <v>97.9</v>
      </c>
      <c r="J133" s="18">
        <v>81.5833333333333</v>
      </c>
      <c r="K133" s="8"/>
      <c r="L133" s="27">
        <v>66.625</v>
      </c>
      <c r="M133" s="39" t="s">
        <v>95</v>
      </c>
      <c r="N133" s="34">
        <v>39.979999999999997</v>
      </c>
      <c r="O133" s="21"/>
    </row>
    <row r="134" spans="1:15" ht="24" customHeight="1">
      <c r="A134" s="9">
        <v>1</v>
      </c>
      <c r="B134" s="10" t="str">
        <f t="shared" ref="B134:B142" si="6">"20240318"</f>
        <v>20240318</v>
      </c>
      <c r="C134" s="11" t="str">
        <f>"2420211220"</f>
        <v>2420211220</v>
      </c>
      <c r="D134" s="11" t="str">
        <f>"112"</f>
        <v>112</v>
      </c>
      <c r="E134" s="11" t="str">
        <f>"20"</f>
        <v>20</v>
      </c>
      <c r="F134" s="12" t="s">
        <v>77</v>
      </c>
      <c r="G134" s="12">
        <v>98</v>
      </c>
      <c r="H134" s="19">
        <v>81.6666666666667</v>
      </c>
      <c r="I134" s="12">
        <v>90.5</v>
      </c>
      <c r="J134" s="19">
        <v>75.4166666666667</v>
      </c>
      <c r="K134" s="12"/>
      <c r="L134" s="20">
        <v>78.5416666666667</v>
      </c>
      <c r="M134" s="35">
        <v>84.2</v>
      </c>
      <c r="N134" s="35">
        <v>80.81</v>
      </c>
      <c r="O134" s="21"/>
    </row>
    <row r="135" spans="1:15" ht="24" customHeight="1">
      <c r="A135" s="9">
        <v>2</v>
      </c>
      <c r="B135" s="10" t="str">
        <f t="shared" si="6"/>
        <v>20240318</v>
      </c>
      <c r="C135" s="11" t="str">
        <f>"2420211224"</f>
        <v>2420211224</v>
      </c>
      <c r="D135" s="11" t="str">
        <f>"112"</f>
        <v>112</v>
      </c>
      <c r="E135" s="11" t="str">
        <f>"24"</f>
        <v>24</v>
      </c>
      <c r="F135" s="12" t="s">
        <v>77</v>
      </c>
      <c r="G135" s="12">
        <v>94</v>
      </c>
      <c r="H135" s="19">
        <v>78.3333333333333</v>
      </c>
      <c r="I135" s="12">
        <v>96.5</v>
      </c>
      <c r="J135" s="19">
        <v>80.4166666666667</v>
      </c>
      <c r="K135" s="12"/>
      <c r="L135" s="20">
        <v>79.375</v>
      </c>
      <c r="M135" s="35">
        <v>78.400000000000006</v>
      </c>
      <c r="N135" s="35">
        <v>78.989999999999995</v>
      </c>
      <c r="O135" s="21"/>
    </row>
    <row r="136" spans="1:15" ht="24" customHeight="1">
      <c r="A136" s="9">
        <v>3</v>
      </c>
      <c r="B136" s="10" t="str">
        <f t="shared" si="6"/>
        <v>20240318</v>
      </c>
      <c r="C136" s="11" t="str">
        <f>"2420211513"</f>
        <v>2420211513</v>
      </c>
      <c r="D136" s="11" t="str">
        <f>"115"</f>
        <v>115</v>
      </c>
      <c r="E136" s="11" t="str">
        <f>"13"</f>
        <v>13</v>
      </c>
      <c r="F136" s="12" t="s">
        <v>77</v>
      </c>
      <c r="G136" s="12">
        <v>87</v>
      </c>
      <c r="H136" s="19">
        <v>72.5</v>
      </c>
      <c r="I136" s="12">
        <v>97.5</v>
      </c>
      <c r="J136" s="19">
        <v>81.25</v>
      </c>
      <c r="K136" s="12"/>
      <c r="L136" s="20">
        <v>76.875</v>
      </c>
      <c r="M136" s="35">
        <v>82</v>
      </c>
      <c r="N136" s="35">
        <v>78.930000000000007</v>
      </c>
      <c r="O136" s="21"/>
    </row>
    <row r="137" spans="1:15" ht="24" customHeight="1">
      <c r="A137" s="9">
        <v>4</v>
      </c>
      <c r="B137" s="10" t="str">
        <f t="shared" si="6"/>
        <v>20240318</v>
      </c>
      <c r="C137" s="11" t="str">
        <f>"2420211114"</f>
        <v>2420211114</v>
      </c>
      <c r="D137" s="11" t="str">
        <f>"111"</f>
        <v>111</v>
      </c>
      <c r="E137" s="11" t="str">
        <f>"14"</f>
        <v>14</v>
      </c>
      <c r="F137" s="12" t="s">
        <v>77</v>
      </c>
      <c r="G137" s="12">
        <v>89.5</v>
      </c>
      <c r="H137" s="19">
        <v>74.5833333333333</v>
      </c>
      <c r="I137" s="12">
        <v>96</v>
      </c>
      <c r="J137" s="19">
        <v>80</v>
      </c>
      <c r="K137" s="12"/>
      <c r="L137" s="20">
        <v>77.2916666666667</v>
      </c>
      <c r="M137" s="35">
        <v>81</v>
      </c>
      <c r="N137" s="35">
        <v>78.78</v>
      </c>
      <c r="O137" s="21"/>
    </row>
    <row r="138" spans="1:15" ht="24" customHeight="1">
      <c r="A138" s="9">
        <v>5</v>
      </c>
      <c r="B138" s="10" t="str">
        <f t="shared" si="6"/>
        <v>20240318</v>
      </c>
      <c r="C138" s="11" t="str">
        <f>"2420211209"</f>
        <v>2420211209</v>
      </c>
      <c r="D138" s="11" t="str">
        <f>"112"</f>
        <v>112</v>
      </c>
      <c r="E138" s="11" t="str">
        <f>"09"</f>
        <v>09</v>
      </c>
      <c r="F138" s="12" t="s">
        <v>77</v>
      </c>
      <c r="G138" s="12">
        <v>89.5</v>
      </c>
      <c r="H138" s="19">
        <v>74.5833333333333</v>
      </c>
      <c r="I138" s="12">
        <v>98</v>
      </c>
      <c r="J138" s="19">
        <v>81.6666666666667</v>
      </c>
      <c r="K138" s="12"/>
      <c r="L138" s="20">
        <v>78.125</v>
      </c>
      <c r="M138" s="35">
        <v>77.400000000000006</v>
      </c>
      <c r="N138" s="35">
        <v>77.84</v>
      </c>
      <c r="O138" s="21"/>
    </row>
    <row r="139" spans="1:15" ht="24" customHeight="1">
      <c r="A139" s="9">
        <v>6</v>
      </c>
      <c r="B139" s="10" t="str">
        <f t="shared" si="6"/>
        <v>20240318</v>
      </c>
      <c r="C139" s="11" t="str">
        <f>"2420211526"</f>
        <v>2420211526</v>
      </c>
      <c r="D139" s="11" t="str">
        <f>"115"</f>
        <v>115</v>
      </c>
      <c r="E139" s="11" t="str">
        <f>"26"</f>
        <v>26</v>
      </c>
      <c r="F139" s="12" t="s">
        <v>77</v>
      </c>
      <c r="G139" s="12">
        <v>94.5</v>
      </c>
      <c r="H139" s="19">
        <v>78.75</v>
      </c>
      <c r="I139" s="12">
        <v>89.5</v>
      </c>
      <c r="J139" s="19">
        <v>74.5833333333333</v>
      </c>
      <c r="K139" s="12"/>
      <c r="L139" s="20">
        <v>76.6666666666667</v>
      </c>
      <c r="M139" s="35">
        <v>79.2</v>
      </c>
      <c r="N139" s="35">
        <v>77.680000000000007</v>
      </c>
      <c r="O139" s="21"/>
    </row>
    <row r="140" spans="1:15" ht="24" customHeight="1">
      <c r="A140" s="9">
        <v>7</v>
      </c>
      <c r="B140" s="10" t="str">
        <f t="shared" si="6"/>
        <v>20240318</v>
      </c>
      <c r="C140" s="11" t="str">
        <f>"2420211106"</f>
        <v>2420211106</v>
      </c>
      <c r="D140" s="11" t="str">
        <f>"111"</f>
        <v>111</v>
      </c>
      <c r="E140" s="11" t="str">
        <f>"06"</f>
        <v>06</v>
      </c>
      <c r="F140" s="12" t="s">
        <v>77</v>
      </c>
      <c r="G140" s="12">
        <v>78</v>
      </c>
      <c r="H140" s="19">
        <v>65</v>
      </c>
      <c r="I140" s="12">
        <v>104.5</v>
      </c>
      <c r="J140" s="19">
        <v>87.0833333333333</v>
      </c>
      <c r="K140" s="12"/>
      <c r="L140" s="20">
        <v>76.0416666666667</v>
      </c>
      <c r="M140" s="35">
        <v>79.400000000000006</v>
      </c>
      <c r="N140" s="35">
        <v>77.39</v>
      </c>
      <c r="O140" s="21"/>
    </row>
    <row r="141" spans="1:15" ht="24" customHeight="1">
      <c r="A141" s="9">
        <v>8</v>
      </c>
      <c r="B141" s="10" t="str">
        <f t="shared" si="6"/>
        <v>20240318</v>
      </c>
      <c r="C141" s="11" t="str">
        <f>"2420211127"</f>
        <v>2420211127</v>
      </c>
      <c r="D141" s="11" t="str">
        <f>"111"</f>
        <v>111</v>
      </c>
      <c r="E141" s="11" t="str">
        <f>"27"</f>
        <v>27</v>
      </c>
      <c r="F141" s="12" t="s">
        <v>77</v>
      </c>
      <c r="G141" s="12">
        <v>83.5</v>
      </c>
      <c r="H141" s="19">
        <v>69.5833333333333</v>
      </c>
      <c r="I141" s="12">
        <v>104</v>
      </c>
      <c r="J141" s="19">
        <v>86.6666666666667</v>
      </c>
      <c r="K141" s="12"/>
      <c r="L141" s="20">
        <v>78.125</v>
      </c>
      <c r="M141" s="40" t="s">
        <v>95</v>
      </c>
      <c r="N141" s="35">
        <v>46.88</v>
      </c>
      <c r="O141" s="21"/>
    </row>
    <row r="142" spans="1:15" ht="24" customHeight="1">
      <c r="A142" s="9">
        <v>9</v>
      </c>
      <c r="B142" s="10" t="str">
        <f t="shared" si="6"/>
        <v>20240318</v>
      </c>
      <c r="C142" s="11" t="str">
        <f>"2420211514"</f>
        <v>2420211514</v>
      </c>
      <c r="D142" s="11" t="str">
        <f>"115"</f>
        <v>115</v>
      </c>
      <c r="E142" s="11" t="str">
        <f>"14"</f>
        <v>14</v>
      </c>
      <c r="F142" s="12" t="s">
        <v>77</v>
      </c>
      <c r="G142" s="12">
        <v>90</v>
      </c>
      <c r="H142" s="19">
        <v>75</v>
      </c>
      <c r="I142" s="12">
        <v>93</v>
      </c>
      <c r="J142" s="19">
        <v>77.5</v>
      </c>
      <c r="K142" s="12"/>
      <c r="L142" s="20">
        <v>76.25</v>
      </c>
      <c r="M142" s="40" t="s">
        <v>95</v>
      </c>
      <c r="N142" s="35">
        <v>45.75</v>
      </c>
      <c r="O142" s="21"/>
    </row>
    <row r="143" spans="1:15" ht="24" customHeight="1">
      <c r="A143" s="2">
        <v>1</v>
      </c>
      <c r="B143" s="6" t="str">
        <f>"20240319"</f>
        <v>20240319</v>
      </c>
      <c r="C143" s="7" t="str">
        <f>"2420211702"</f>
        <v>2420211702</v>
      </c>
      <c r="D143" s="7" t="str">
        <f>"117"</f>
        <v>117</v>
      </c>
      <c r="E143" s="7" t="str">
        <f>"02"</f>
        <v>02</v>
      </c>
      <c r="F143" s="8" t="s">
        <v>78</v>
      </c>
      <c r="G143" s="8">
        <v>67.5</v>
      </c>
      <c r="H143" s="18">
        <v>56.25</v>
      </c>
      <c r="I143" s="8">
        <v>79.5</v>
      </c>
      <c r="J143" s="18">
        <v>66.25</v>
      </c>
      <c r="K143" s="8"/>
      <c r="L143" s="27">
        <v>61.25</v>
      </c>
      <c r="M143" s="36">
        <v>85.58</v>
      </c>
      <c r="N143" s="34">
        <v>70.98</v>
      </c>
      <c r="O143" s="21"/>
    </row>
    <row r="144" spans="1:15" ht="24" customHeight="1">
      <c r="A144" s="2">
        <v>2</v>
      </c>
      <c r="B144" s="6" t="str">
        <f>"20240319"</f>
        <v>20240319</v>
      </c>
      <c r="C144" s="7" t="str">
        <f>"2420211701"</f>
        <v>2420211701</v>
      </c>
      <c r="D144" s="7" t="str">
        <f>"117"</f>
        <v>117</v>
      </c>
      <c r="E144" s="7" t="str">
        <f>"01"</f>
        <v>01</v>
      </c>
      <c r="F144" s="8" t="s">
        <v>78</v>
      </c>
      <c r="G144" s="8">
        <v>69.5</v>
      </c>
      <c r="H144" s="18">
        <v>57.9166666666667</v>
      </c>
      <c r="I144" s="8">
        <v>89.5</v>
      </c>
      <c r="J144" s="18">
        <v>74.5833333333333</v>
      </c>
      <c r="K144" s="8"/>
      <c r="L144" s="27">
        <v>66.25</v>
      </c>
      <c r="M144" s="39" t="s">
        <v>95</v>
      </c>
      <c r="N144" s="34">
        <v>39.75</v>
      </c>
      <c r="O144" s="21"/>
    </row>
    <row r="145" spans="1:15" ht="24" customHeight="1">
      <c r="A145" s="9">
        <v>1</v>
      </c>
      <c r="B145" s="10" t="str">
        <f>"20240320"</f>
        <v>20240320</v>
      </c>
      <c r="C145" s="11" t="str">
        <f>"2420311826"</f>
        <v>2420311826</v>
      </c>
      <c r="D145" s="11" t="str">
        <f>"118"</f>
        <v>118</v>
      </c>
      <c r="E145" s="11" t="str">
        <f>"26"</f>
        <v>26</v>
      </c>
      <c r="F145" s="12" t="s">
        <v>79</v>
      </c>
      <c r="G145" s="12">
        <v>65.5</v>
      </c>
      <c r="H145" s="19">
        <v>54.5833333333333</v>
      </c>
      <c r="I145" s="12">
        <v>93</v>
      </c>
      <c r="J145" s="19">
        <v>77.5</v>
      </c>
      <c r="K145" s="12"/>
      <c r="L145" s="20">
        <v>66.0416666666667</v>
      </c>
      <c r="M145" s="35">
        <v>85.5</v>
      </c>
      <c r="N145" s="35">
        <v>73.83</v>
      </c>
      <c r="O145" s="21"/>
    </row>
    <row r="146" spans="1:15" ht="24" customHeight="1">
      <c r="A146" s="9">
        <v>2</v>
      </c>
      <c r="B146" s="10" t="s">
        <v>80</v>
      </c>
      <c r="C146" s="11" t="s">
        <v>83</v>
      </c>
      <c r="D146" s="11" t="s">
        <v>84</v>
      </c>
      <c r="E146" s="11" t="s">
        <v>37</v>
      </c>
      <c r="F146" s="12" t="s">
        <v>79</v>
      </c>
      <c r="G146" s="12">
        <v>73</v>
      </c>
      <c r="H146" s="19">
        <v>60.8333333333333</v>
      </c>
      <c r="I146" s="12">
        <v>79</v>
      </c>
      <c r="J146" s="19">
        <v>65.8333333333333</v>
      </c>
      <c r="K146" s="12"/>
      <c r="L146" s="20">
        <v>63.3333333333333</v>
      </c>
      <c r="M146" s="35">
        <v>85.4</v>
      </c>
      <c r="N146" s="35">
        <v>72.16</v>
      </c>
      <c r="O146" s="21"/>
    </row>
    <row r="147" spans="1:15" s="3" customFormat="1" ht="24" customHeight="1">
      <c r="A147" s="9">
        <v>3</v>
      </c>
      <c r="B147" s="11" t="s">
        <v>80</v>
      </c>
      <c r="C147" s="11" t="s">
        <v>81</v>
      </c>
      <c r="D147" s="11" t="s">
        <v>52</v>
      </c>
      <c r="E147" s="11" t="s">
        <v>82</v>
      </c>
      <c r="F147" s="12" t="s">
        <v>79</v>
      </c>
      <c r="G147" s="12">
        <v>82.5</v>
      </c>
      <c r="H147" s="19">
        <v>68.75</v>
      </c>
      <c r="I147" s="12">
        <v>71.5</v>
      </c>
      <c r="J147" s="19">
        <v>59.5833333333333</v>
      </c>
      <c r="K147" s="12"/>
      <c r="L147" s="20">
        <v>64.1666666666667</v>
      </c>
      <c r="M147" s="35">
        <v>81.92</v>
      </c>
      <c r="N147" s="35">
        <v>71.27</v>
      </c>
      <c r="O147" s="21"/>
    </row>
    <row r="148" spans="1:15" s="3" customFormat="1" ht="24" customHeight="1">
      <c r="A148" s="9">
        <v>4</v>
      </c>
      <c r="B148" s="11" t="s">
        <v>80</v>
      </c>
      <c r="C148" s="11" t="s">
        <v>85</v>
      </c>
      <c r="D148" s="11" t="s">
        <v>84</v>
      </c>
      <c r="E148" s="11" t="s">
        <v>40</v>
      </c>
      <c r="F148" s="12" t="s">
        <v>79</v>
      </c>
      <c r="G148" s="12">
        <v>67.5</v>
      </c>
      <c r="H148" s="19">
        <v>56.25</v>
      </c>
      <c r="I148" s="12">
        <v>83.5</v>
      </c>
      <c r="J148" s="19">
        <v>69.5833333333333</v>
      </c>
      <c r="K148" s="12"/>
      <c r="L148" s="20">
        <v>62.9166666666667</v>
      </c>
      <c r="M148" s="35">
        <v>83.02</v>
      </c>
      <c r="N148" s="35">
        <v>70.959999999999994</v>
      </c>
      <c r="O148" s="21"/>
    </row>
    <row r="149" spans="1:15" s="3" customFormat="1" ht="24" customHeight="1">
      <c r="A149" s="9">
        <v>5</v>
      </c>
      <c r="B149" s="11" t="str">
        <f>"20240320"</f>
        <v>20240320</v>
      </c>
      <c r="C149" s="11" t="str">
        <f>"2420311918"</f>
        <v>2420311918</v>
      </c>
      <c r="D149" s="11" t="str">
        <f>"119"</f>
        <v>119</v>
      </c>
      <c r="E149" s="11" t="str">
        <f>"18"</f>
        <v>18</v>
      </c>
      <c r="F149" s="12" t="s">
        <v>79</v>
      </c>
      <c r="G149" s="12">
        <v>86.5</v>
      </c>
      <c r="H149" s="19">
        <v>72.0833333333333</v>
      </c>
      <c r="I149" s="12">
        <v>86</v>
      </c>
      <c r="J149" s="19">
        <v>71.6666666666667</v>
      </c>
      <c r="K149" s="12"/>
      <c r="L149" s="20">
        <v>71.875</v>
      </c>
      <c r="M149" s="40" t="s">
        <v>95</v>
      </c>
      <c r="N149" s="35">
        <v>43.13</v>
      </c>
      <c r="O149" s="21"/>
    </row>
    <row r="150" spans="1:15" ht="24" customHeight="1">
      <c r="A150" s="2">
        <v>1</v>
      </c>
      <c r="B150" s="6" t="str">
        <f>"20240321"</f>
        <v>20240321</v>
      </c>
      <c r="C150" s="7" t="str">
        <f>"2420312029"</f>
        <v>2420312029</v>
      </c>
      <c r="D150" s="7" t="str">
        <f>"120"</f>
        <v>120</v>
      </c>
      <c r="E150" s="7" t="str">
        <f>"29"</f>
        <v>29</v>
      </c>
      <c r="F150" s="8" t="s">
        <v>86</v>
      </c>
      <c r="G150" s="8">
        <v>89</v>
      </c>
      <c r="H150" s="18">
        <v>74.1666666666667</v>
      </c>
      <c r="I150" s="8">
        <v>81</v>
      </c>
      <c r="J150" s="18">
        <v>67.5</v>
      </c>
      <c r="K150" s="8"/>
      <c r="L150" s="27">
        <v>70.8333333333333</v>
      </c>
      <c r="M150" s="36">
        <v>80.400000000000006</v>
      </c>
      <c r="N150" s="34">
        <v>74.66</v>
      </c>
      <c r="O150" s="21"/>
    </row>
    <row r="151" spans="1:15" ht="24" customHeight="1">
      <c r="A151" s="2">
        <v>2</v>
      </c>
      <c r="B151" s="6" t="str">
        <f>"20240321"</f>
        <v>20240321</v>
      </c>
      <c r="C151" s="7" t="str">
        <f>"2420312016"</f>
        <v>2420312016</v>
      </c>
      <c r="D151" s="7" t="str">
        <f>"120"</f>
        <v>120</v>
      </c>
      <c r="E151" s="7" t="str">
        <f>"16"</f>
        <v>16</v>
      </c>
      <c r="F151" s="8" t="s">
        <v>86</v>
      </c>
      <c r="G151" s="8">
        <v>72</v>
      </c>
      <c r="H151" s="18">
        <v>60</v>
      </c>
      <c r="I151" s="8">
        <v>93.5</v>
      </c>
      <c r="J151" s="18">
        <v>77.9166666666667</v>
      </c>
      <c r="K151" s="8"/>
      <c r="L151" s="27">
        <v>68.9583333333333</v>
      </c>
      <c r="M151" s="36">
        <v>82</v>
      </c>
      <c r="N151" s="34">
        <v>74.180000000000007</v>
      </c>
      <c r="O151" s="21"/>
    </row>
    <row r="152" spans="1:15" ht="24" customHeight="1">
      <c r="A152" s="2">
        <v>3</v>
      </c>
      <c r="B152" s="6" t="str">
        <f>"20240321"</f>
        <v>20240321</v>
      </c>
      <c r="C152" s="7" t="str">
        <f>"2420312021"</f>
        <v>2420312021</v>
      </c>
      <c r="D152" s="7" t="str">
        <f>"120"</f>
        <v>120</v>
      </c>
      <c r="E152" s="7" t="str">
        <f>"21"</f>
        <v>21</v>
      </c>
      <c r="F152" s="8" t="s">
        <v>86</v>
      </c>
      <c r="G152" s="8">
        <v>75</v>
      </c>
      <c r="H152" s="18">
        <v>62.5</v>
      </c>
      <c r="I152" s="8">
        <v>79.5</v>
      </c>
      <c r="J152" s="18">
        <v>66.25</v>
      </c>
      <c r="K152" s="8"/>
      <c r="L152" s="27">
        <v>64.375</v>
      </c>
      <c r="M152" s="36">
        <v>78.400000000000006</v>
      </c>
      <c r="N152" s="34">
        <v>69.989999999999995</v>
      </c>
      <c r="O152" s="21"/>
    </row>
    <row r="153" spans="1:15" ht="24" customHeight="1">
      <c r="A153" s="2">
        <v>4</v>
      </c>
      <c r="B153" s="6" t="str">
        <f>"20240321"</f>
        <v>20240321</v>
      </c>
      <c r="C153" s="7" t="str">
        <f>"2420312104"</f>
        <v>2420312104</v>
      </c>
      <c r="D153" s="7" t="str">
        <f>"121"</f>
        <v>121</v>
      </c>
      <c r="E153" s="7" t="str">
        <f>"04"</f>
        <v>04</v>
      </c>
      <c r="F153" s="8" t="s">
        <v>86</v>
      </c>
      <c r="G153" s="8">
        <v>73</v>
      </c>
      <c r="H153" s="18">
        <v>60.8333333333333</v>
      </c>
      <c r="I153" s="8">
        <v>97</v>
      </c>
      <c r="J153" s="18">
        <v>80.8333333333333</v>
      </c>
      <c r="K153" s="8"/>
      <c r="L153" s="27">
        <v>70.8333333333333</v>
      </c>
      <c r="M153" s="39" t="s">
        <v>95</v>
      </c>
      <c r="N153" s="34">
        <v>42.5</v>
      </c>
      <c r="O153" s="21"/>
    </row>
    <row r="154" spans="1:15" ht="24" customHeight="1">
      <c r="A154" s="9">
        <v>1</v>
      </c>
      <c r="B154" s="10" t="str">
        <f t="shared" ref="B154:B161" si="7">"20240322"</f>
        <v>20240322</v>
      </c>
      <c r="C154" s="11" t="str">
        <f>"2420312308"</f>
        <v>2420312308</v>
      </c>
      <c r="D154" s="11" t="str">
        <f>"123"</f>
        <v>123</v>
      </c>
      <c r="E154" s="11" t="str">
        <f>"08"</f>
        <v>08</v>
      </c>
      <c r="F154" s="12" t="s">
        <v>87</v>
      </c>
      <c r="G154" s="12">
        <v>83</v>
      </c>
      <c r="H154" s="19">
        <v>69.1666666666667</v>
      </c>
      <c r="I154" s="12">
        <v>88.5</v>
      </c>
      <c r="J154" s="19">
        <v>73.75</v>
      </c>
      <c r="K154" s="12"/>
      <c r="L154" s="20">
        <v>71.4583333333333</v>
      </c>
      <c r="M154" s="35">
        <v>79.34</v>
      </c>
      <c r="N154" s="35">
        <v>74.61</v>
      </c>
      <c r="O154" s="21"/>
    </row>
    <row r="155" spans="1:15" ht="24" customHeight="1">
      <c r="A155" s="9">
        <v>2</v>
      </c>
      <c r="B155" s="10" t="str">
        <f t="shared" si="7"/>
        <v>20240322</v>
      </c>
      <c r="C155" s="11" t="str">
        <f>"2420312212"</f>
        <v>2420312212</v>
      </c>
      <c r="D155" s="11" t="str">
        <f t="shared" ref="D155:D161" si="8">"122"</f>
        <v>122</v>
      </c>
      <c r="E155" s="11" t="str">
        <f>"12"</f>
        <v>12</v>
      </c>
      <c r="F155" s="12" t="s">
        <v>87</v>
      </c>
      <c r="G155" s="12">
        <v>77.5</v>
      </c>
      <c r="H155" s="19">
        <v>64.5833333333333</v>
      </c>
      <c r="I155" s="12">
        <v>77</v>
      </c>
      <c r="J155" s="19">
        <v>64.1666666666667</v>
      </c>
      <c r="K155" s="12"/>
      <c r="L155" s="20">
        <v>64.375</v>
      </c>
      <c r="M155" s="35">
        <v>85.3</v>
      </c>
      <c r="N155" s="35">
        <v>72.75</v>
      </c>
      <c r="O155" s="21"/>
    </row>
    <row r="156" spans="1:15" ht="24" customHeight="1">
      <c r="A156" s="9">
        <v>3</v>
      </c>
      <c r="B156" s="10" t="str">
        <f t="shared" si="7"/>
        <v>20240322</v>
      </c>
      <c r="C156" s="11" t="str">
        <f>"2420312228"</f>
        <v>2420312228</v>
      </c>
      <c r="D156" s="11" t="str">
        <f t="shared" si="8"/>
        <v>122</v>
      </c>
      <c r="E156" s="11" t="str">
        <f>"28"</f>
        <v>28</v>
      </c>
      <c r="F156" s="12" t="s">
        <v>87</v>
      </c>
      <c r="G156" s="12">
        <v>92</v>
      </c>
      <c r="H156" s="19">
        <v>76.6666666666667</v>
      </c>
      <c r="I156" s="12">
        <v>74</v>
      </c>
      <c r="J156" s="19">
        <v>61.6666666666667</v>
      </c>
      <c r="K156" s="12"/>
      <c r="L156" s="20">
        <v>69.1666666666667</v>
      </c>
      <c r="M156" s="40" t="s">
        <v>95</v>
      </c>
      <c r="N156" s="35">
        <v>41.5</v>
      </c>
      <c r="O156" s="21"/>
    </row>
    <row r="157" spans="1:15" ht="24" customHeight="1">
      <c r="A157" s="9">
        <v>4</v>
      </c>
      <c r="B157" s="10" t="str">
        <f t="shared" si="7"/>
        <v>20240322</v>
      </c>
      <c r="C157" s="11" t="str">
        <f>"2420312225"</f>
        <v>2420312225</v>
      </c>
      <c r="D157" s="11" t="str">
        <f t="shared" si="8"/>
        <v>122</v>
      </c>
      <c r="E157" s="11" t="str">
        <f>"25"</f>
        <v>25</v>
      </c>
      <c r="F157" s="12" t="s">
        <v>87</v>
      </c>
      <c r="G157" s="12">
        <v>88.5</v>
      </c>
      <c r="H157" s="19">
        <v>73.75</v>
      </c>
      <c r="I157" s="12">
        <v>73.5</v>
      </c>
      <c r="J157" s="19">
        <v>61.25</v>
      </c>
      <c r="K157" s="12"/>
      <c r="L157" s="20">
        <v>67.5</v>
      </c>
      <c r="M157" s="40" t="s">
        <v>95</v>
      </c>
      <c r="N157" s="35">
        <v>40.5</v>
      </c>
      <c r="O157" s="21"/>
    </row>
    <row r="158" spans="1:15" ht="24" customHeight="1">
      <c r="A158" s="9">
        <v>5</v>
      </c>
      <c r="B158" s="10" t="str">
        <f t="shared" si="7"/>
        <v>20240322</v>
      </c>
      <c r="C158" s="11" t="str">
        <f>"2420312223"</f>
        <v>2420312223</v>
      </c>
      <c r="D158" s="11" t="str">
        <f t="shared" si="8"/>
        <v>122</v>
      </c>
      <c r="E158" s="11" t="str">
        <f>"23"</f>
        <v>23</v>
      </c>
      <c r="F158" s="12" t="s">
        <v>87</v>
      </c>
      <c r="G158" s="12">
        <v>95</v>
      </c>
      <c r="H158" s="19">
        <v>79.1666666666667</v>
      </c>
      <c r="I158" s="12">
        <v>65.5</v>
      </c>
      <c r="J158" s="19">
        <v>54.5833333333333</v>
      </c>
      <c r="K158" s="12"/>
      <c r="L158" s="20">
        <v>66.875</v>
      </c>
      <c r="M158" s="40" t="s">
        <v>95</v>
      </c>
      <c r="N158" s="35">
        <v>40.130000000000003</v>
      </c>
      <c r="O158" s="21"/>
    </row>
    <row r="159" spans="1:15" ht="24" customHeight="1">
      <c r="A159" s="9">
        <v>6</v>
      </c>
      <c r="B159" s="10" t="str">
        <f t="shared" si="7"/>
        <v>20240322</v>
      </c>
      <c r="C159" s="11" t="str">
        <f>"2420312201"</f>
        <v>2420312201</v>
      </c>
      <c r="D159" s="11" t="str">
        <f t="shared" si="8"/>
        <v>122</v>
      </c>
      <c r="E159" s="11" t="str">
        <f>"01"</f>
        <v>01</v>
      </c>
      <c r="F159" s="12" t="s">
        <v>87</v>
      </c>
      <c r="G159" s="12">
        <v>78</v>
      </c>
      <c r="H159" s="19">
        <v>65</v>
      </c>
      <c r="I159" s="12">
        <v>75.5</v>
      </c>
      <c r="J159" s="19">
        <v>62.9166666666667</v>
      </c>
      <c r="K159" s="12"/>
      <c r="L159" s="20">
        <v>63.9583333333333</v>
      </c>
      <c r="M159" s="40" t="s">
        <v>95</v>
      </c>
      <c r="N159" s="35">
        <v>38.380000000000003</v>
      </c>
      <c r="O159" s="21"/>
    </row>
    <row r="160" spans="1:15" ht="24" customHeight="1">
      <c r="A160" s="9">
        <v>7</v>
      </c>
      <c r="B160" s="10" t="str">
        <f t="shared" si="7"/>
        <v>20240322</v>
      </c>
      <c r="C160" s="11" t="str">
        <f>"2420312224"</f>
        <v>2420312224</v>
      </c>
      <c r="D160" s="11" t="str">
        <f t="shared" si="8"/>
        <v>122</v>
      </c>
      <c r="E160" s="11" t="str">
        <f>"24"</f>
        <v>24</v>
      </c>
      <c r="F160" s="12" t="s">
        <v>87</v>
      </c>
      <c r="G160" s="12">
        <v>76.5</v>
      </c>
      <c r="H160" s="19">
        <v>63.75</v>
      </c>
      <c r="I160" s="12">
        <v>68</v>
      </c>
      <c r="J160" s="19">
        <v>56.6666666666667</v>
      </c>
      <c r="K160" s="12"/>
      <c r="L160" s="20">
        <v>60.2083333333333</v>
      </c>
      <c r="M160" s="40" t="s">
        <v>95</v>
      </c>
      <c r="N160" s="35">
        <v>36.130000000000003</v>
      </c>
      <c r="O160" s="21"/>
    </row>
    <row r="161" spans="1:17" ht="24" customHeight="1">
      <c r="A161" s="9">
        <v>8</v>
      </c>
      <c r="B161" s="10" t="str">
        <f t="shared" si="7"/>
        <v>20240322</v>
      </c>
      <c r="C161" s="11" t="str">
        <f>"2420312211"</f>
        <v>2420312211</v>
      </c>
      <c r="D161" s="11" t="str">
        <f t="shared" si="8"/>
        <v>122</v>
      </c>
      <c r="E161" s="11" t="str">
        <f>"11"</f>
        <v>11</v>
      </c>
      <c r="F161" s="12" t="s">
        <v>87</v>
      </c>
      <c r="G161" s="12">
        <v>77</v>
      </c>
      <c r="H161" s="19">
        <v>64.1666666666667</v>
      </c>
      <c r="I161" s="12">
        <v>67.5</v>
      </c>
      <c r="J161" s="19">
        <v>56.25</v>
      </c>
      <c r="K161" s="12"/>
      <c r="L161" s="20">
        <v>60.2083333333333</v>
      </c>
      <c r="M161" s="40" t="s">
        <v>95</v>
      </c>
      <c r="N161" s="35">
        <v>36.130000000000003</v>
      </c>
      <c r="O161" s="21"/>
    </row>
    <row r="162" spans="1:17" ht="24" customHeight="1">
      <c r="A162" s="2">
        <v>1</v>
      </c>
      <c r="B162" s="6" t="str">
        <f>"20240323"</f>
        <v>20240323</v>
      </c>
      <c r="C162" s="7" t="str">
        <f>"2420312404"</f>
        <v>2420312404</v>
      </c>
      <c r="D162" s="7" t="str">
        <f>"124"</f>
        <v>124</v>
      </c>
      <c r="E162" s="7" t="str">
        <f>"04"</f>
        <v>04</v>
      </c>
      <c r="F162" s="8" t="s">
        <v>88</v>
      </c>
      <c r="G162" s="8">
        <v>67</v>
      </c>
      <c r="H162" s="18">
        <v>55.8333333333333</v>
      </c>
      <c r="I162" s="8">
        <v>87</v>
      </c>
      <c r="J162" s="18">
        <v>72.5</v>
      </c>
      <c r="K162" s="8"/>
      <c r="L162" s="27">
        <v>64.1666666666667</v>
      </c>
      <c r="M162" s="36">
        <v>80.8</v>
      </c>
      <c r="N162" s="34">
        <v>70.819999999999993</v>
      </c>
      <c r="O162" s="21"/>
    </row>
    <row r="163" spans="1:17" ht="24" customHeight="1">
      <c r="A163" s="2">
        <v>2</v>
      </c>
      <c r="B163" s="6" t="str">
        <f>"20240323"</f>
        <v>20240323</v>
      </c>
      <c r="C163" s="7" t="str">
        <f>"2420312402"</f>
        <v>2420312402</v>
      </c>
      <c r="D163" s="7" t="str">
        <f>"124"</f>
        <v>124</v>
      </c>
      <c r="E163" s="7" t="str">
        <f>"02"</f>
        <v>02</v>
      </c>
      <c r="F163" s="8" t="s">
        <v>88</v>
      </c>
      <c r="G163" s="8">
        <v>73.5</v>
      </c>
      <c r="H163" s="18">
        <v>61.25</v>
      </c>
      <c r="I163" s="8">
        <v>83</v>
      </c>
      <c r="J163" s="18">
        <v>69.1666666666667</v>
      </c>
      <c r="K163" s="8"/>
      <c r="L163" s="27">
        <v>65.2083333333333</v>
      </c>
      <c r="M163" s="39" t="s">
        <v>95</v>
      </c>
      <c r="N163" s="34">
        <v>39.130000000000003</v>
      </c>
      <c r="O163" s="21"/>
    </row>
    <row r="164" spans="1:17" ht="24" customHeight="1">
      <c r="A164" s="9">
        <v>1</v>
      </c>
      <c r="B164" s="10" t="str">
        <f>"20240324"</f>
        <v>20240324</v>
      </c>
      <c r="C164" s="11" t="str">
        <f>"2420312614"</f>
        <v>2420312614</v>
      </c>
      <c r="D164" s="11" t="str">
        <f>"126"</f>
        <v>126</v>
      </c>
      <c r="E164" s="11" t="str">
        <f>"14"</f>
        <v>14</v>
      </c>
      <c r="F164" s="12" t="s">
        <v>89</v>
      </c>
      <c r="G164" s="12">
        <v>92</v>
      </c>
      <c r="H164" s="19">
        <v>76.6666666666667</v>
      </c>
      <c r="I164" s="12">
        <v>70.3</v>
      </c>
      <c r="J164" s="19">
        <v>58.5833333333333</v>
      </c>
      <c r="K164" s="12"/>
      <c r="L164" s="20">
        <v>67.625</v>
      </c>
      <c r="M164" s="35">
        <v>81.319999999999993</v>
      </c>
      <c r="N164" s="35">
        <v>73.099999999999994</v>
      </c>
      <c r="O164" s="21"/>
    </row>
    <row r="165" spans="1:17" ht="24" customHeight="1">
      <c r="A165" s="9">
        <v>2</v>
      </c>
      <c r="B165" s="10" t="str">
        <f>"20240324"</f>
        <v>20240324</v>
      </c>
      <c r="C165" s="11" t="str">
        <f>"2420312528"</f>
        <v>2420312528</v>
      </c>
      <c r="D165" s="11" t="str">
        <f>"125"</f>
        <v>125</v>
      </c>
      <c r="E165" s="11" t="str">
        <f>"28"</f>
        <v>28</v>
      </c>
      <c r="F165" s="12" t="s">
        <v>89</v>
      </c>
      <c r="G165" s="12">
        <v>90</v>
      </c>
      <c r="H165" s="19">
        <v>75</v>
      </c>
      <c r="I165" s="12">
        <v>76.900000000000006</v>
      </c>
      <c r="J165" s="19">
        <v>64.0833333333333</v>
      </c>
      <c r="K165" s="12"/>
      <c r="L165" s="20">
        <v>69.5416666666667</v>
      </c>
      <c r="M165" s="35">
        <v>77.78</v>
      </c>
      <c r="N165" s="35">
        <v>72.84</v>
      </c>
      <c r="O165" s="21"/>
    </row>
    <row r="166" spans="1:17" ht="24" customHeight="1">
      <c r="A166" s="9">
        <v>3</v>
      </c>
      <c r="B166" s="10" t="str">
        <f>"20240324"</f>
        <v>20240324</v>
      </c>
      <c r="C166" s="11" t="str">
        <f>"2420312628"</f>
        <v>2420312628</v>
      </c>
      <c r="D166" s="11" t="str">
        <f>"126"</f>
        <v>126</v>
      </c>
      <c r="E166" s="11" t="str">
        <f>"28"</f>
        <v>28</v>
      </c>
      <c r="F166" s="12" t="s">
        <v>89</v>
      </c>
      <c r="G166" s="12">
        <v>76.5</v>
      </c>
      <c r="H166" s="19">
        <v>63.75</v>
      </c>
      <c r="I166" s="12">
        <v>83.1</v>
      </c>
      <c r="J166" s="19">
        <v>69.25</v>
      </c>
      <c r="K166" s="12"/>
      <c r="L166" s="20">
        <v>66.5</v>
      </c>
      <c r="M166" s="35">
        <v>75.52</v>
      </c>
      <c r="N166" s="35">
        <v>70.11</v>
      </c>
      <c r="O166" s="21"/>
    </row>
    <row r="167" spans="1:17" s="4" customFormat="1" ht="24" customHeight="1">
      <c r="A167" s="28">
        <v>1</v>
      </c>
      <c r="B167" s="29" t="str">
        <f>"20240325"</f>
        <v>20240325</v>
      </c>
      <c r="C167" s="29" t="str">
        <f>"2410312407"</f>
        <v>2410312407</v>
      </c>
      <c r="D167" s="29" t="str">
        <f>"124"</f>
        <v>124</v>
      </c>
      <c r="E167" s="29" t="str">
        <f>"07"</f>
        <v>07</v>
      </c>
      <c r="F167" s="30" t="s">
        <v>90</v>
      </c>
      <c r="G167" s="30">
        <v>79</v>
      </c>
      <c r="H167" s="31">
        <v>65.8333333333333</v>
      </c>
      <c r="I167" s="30">
        <v>85.8</v>
      </c>
      <c r="J167" s="31">
        <v>71.5</v>
      </c>
      <c r="K167" s="30"/>
      <c r="L167" s="32">
        <v>68.6666666666667</v>
      </c>
      <c r="M167" s="37">
        <v>80.36</v>
      </c>
      <c r="N167" s="34">
        <v>73.34</v>
      </c>
      <c r="O167" s="24"/>
      <c r="P167" s="25"/>
      <c r="Q167" s="25"/>
    </row>
    <row r="168" spans="1:17" s="4" customFormat="1" ht="24" customHeight="1">
      <c r="A168" s="28">
        <v>2</v>
      </c>
      <c r="B168" s="29" t="str">
        <f t="shared" ref="B168:B169" si="9">"20240325"</f>
        <v>20240325</v>
      </c>
      <c r="C168" s="29" t="str">
        <f>"2410312610"</f>
        <v>2410312610</v>
      </c>
      <c r="D168" s="29" t="str">
        <f t="shared" ref="D168" si="10">"126"</f>
        <v>126</v>
      </c>
      <c r="E168" s="29" t="str">
        <f>"10"</f>
        <v>10</v>
      </c>
      <c r="F168" s="30" t="s">
        <v>90</v>
      </c>
      <c r="G168" s="30">
        <v>76.5</v>
      </c>
      <c r="H168" s="31">
        <v>63.75</v>
      </c>
      <c r="I168" s="30">
        <v>85.5</v>
      </c>
      <c r="J168" s="31">
        <v>71.25</v>
      </c>
      <c r="K168" s="30"/>
      <c r="L168" s="32">
        <v>67.5</v>
      </c>
      <c r="M168" s="37">
        <v>79.56</v>
      </c>
      <c r="N168" s="34">
        <v>72.319999999999993</v>
      </c>
      <c r="O168" s="24"/>
      <c r="P168" s="25"/>
      <c r="Q168" s="25"/>
    </row>
    <row r="169" spans="1:17" s="4" customFormat="1" ht="24" customHeight="1">
      <c r="A169" s="28">
        <v>3</v>
      </c>
      <c r="B169" s="29" t="str">
        <f t="shared" si="9"/>
        <v>20240325</v>
      </c>
      <c r="C169" s="29" t="str">
        <f>"2410312402"</f>
        <v>2410312402</v>
      </c>
      <c r="D169" s="29" t="str">
        <f>"124"</f>
        <v>124</v>
      </c>
      <c r="E169" s="29" t="str">
        <f>"02"</f>
        <v>02</v>
      </c>
      <c r="F169" s="30" t="s">
        <v>90</v>
      </c>
      <c r="G169" s="30">
        <v>70</v>
      </c>
      <c r="H169" s="31">
        <v>58.3333333333333</v>
      </c>
      <c r="I169" s="30">
        <v>88.7</v>
      </c>
      <c r="J169" s="31">
        <v>73.9166666666667</v>
      </c>
      <c r="K169" s="30"/>
      <c r="L169" s="32">
        <v>66.125</v>
      </c>
      <c r="M169" s="37">
        <v>79.180000000000007</v>
      </c>
      <c r="N169" s="34">
        <v>71.349999999999994</v>
      </c>
      <c r="O169" s="24"/>
      <c r="P169" s="25"/>
      <c r="Q169" s="25"/>
    </row>
  </sheetData>
  <autoFilter ref="A1:O169">
    <filterColumn colId="12" showButton="0"/>
    <filterColumn colId="13" showButton="0"/>
  </autoFilter>
  <sortState ref="B164:P166">
    <sortCondition descending="1" ref="N164:N166"/>
  </sortState>
  <mergeCells count="1">
    <mergeCell ref="A1:O1"/>
  </mergeCells>
  <phoneticPr fontId="4" type="noConversion"/>
  <conditionalFormatting sqref="C3:C19">
    <cfRule type="expression" dxfId="25" priority="43">
      <formula>AND(SUMPRODUCT(IFERROR(1*(($C$3:$C$19&amp;"x")=(C3&amp;"x")),0))&gt;1,NOT(ISBLANK(C3)))</formula>
    </cfRule>
  </conditionalFormatting>
  <conditionalFormatting sqref="C20:C23">
    <cfRule type="expression" dxfId="24" priority="23">
      <formula>AND(SUMPRODUCT(IFERROR(1*(($C$20:$C$23&amp;"x")=(C20&amp;"x")),0))&gt;1,NOT(ISBLANK(C20)))</formula>
    </cfRule>
  </conditionalFormatting>
  <conditionalFormatting sqref="C24:C39">
    <cfRule type="expression" dxfId="23" priority="41">
      <formula>AND(SUMPRODUCT(IFERROR(1*(($C$24:$C$39&amp;"x")=(C24&amp;"x")),0))&gt;1,NOT(ISBLANK(C24)))</formula>
    </cfRule>
  </conditionalFormatting>
  <conditionalFormatting sqref="C40:C41">
    <cfRule type="expression" dxfId="22" priority="20">
      <formula>AND(SUMPRODUCT(IFERROR(1*(($C$40:$C$41&amp;"x")=(C40&amp;"x")),0))&gt;1,NOT(ISBLANK(C40)))</formula>
    </cfRule>
  </conditionalFormatting>
  <conditionalFormatting sqref="C42:C57">
    <cfRule type="expression" dxfId="21" priority="40">
      <formula>AND(SUMPRODUCT(IFERROR(1*(($C$42:$C$57&amp;"x")=(C42&amp;"x")),0))&gt;1,NOT(ISBLANK(C42)))</formula>
    </cfRule>
  </conditionalFormatting>
  <conditionalFormatting sqref="C58:C60">
    <cfRule type="expression" dxfId="20" priority="18">
      <formula>AND(SUMPRODUCT(IFERROR(1*(($C$58:$C$60&amp;"x")=(C58&amp;"x")),0))&gt;1,NOT(ISBLANK(C58)))</formula>
    </cfRule>
  </conditionalFormatting>
  <conditionalFormatting sqref="C61:C66">
    <cfRule type="expression" dxfId="19" priority="27">
      <formula>AND(SUMPRODUCT(IFERROR(1*(($C$61:$C$66&amp;"x")=(C61&amp;"x")),0))&gt;1,NOT(ISBLANK(C61)))</formula>
    </cfRule>
  </conditionalFormatting>
  <conditionalFormatting sqref="C67:C69">
    <cfRule type="expression" dxfId="18" priority="17">
      <formula>AND(SUMPRODUCT(IFERROR(1*(($C$67:$C$69&amp;"x")=(C67&amp;"x")),0))&gt;1,NOT(ISBLANK(C67)))</formula>
    </cfRule>
  </conditionalFormatting>
  <conditionalFormatting sqref="C70:C83">
    <cfRule type="expression" dxfId="17" priority="39">
      <formula>AND(SUMPRODUCT(IFERROR(1*(($C$70:$C$83&amp;"x")=(C70&amp;"x")),0))&gt;1,NOT(ISBLANK(C70)))</formula>
    </cfRule>
  </conditionalFormatting>
  <conditionalFormatting sqref="C84:C86">
    <cfRule type="expression" dxfId="16" priority="16">
      <formula>AND(SUMPRODUCT(IFERROR(1*(($C$84:$C$86&amp;"x")=(C84&amp;"x")),0))&gt;1,NOT(ISBLANK(C84)))</formula>
    </cfRule>
  </conditionalFormatting>
  <conditionalFormatting sqref="C87:C100">
    <cfRule type="expression" dxfId="15" priority="38">
      <formula>AND(SUMPRODUCT(IFERROR(1*(($C$87:$C$100&amp;"x")=(C87&amp;"x")),0))&gt;1,NOT(ISBLANK(C87)))</formula>
    </cfRule>
  </conditionalFormatting>
  <conditionalFormatting sqref="C101:C102">
    <cfRule type="expression" dxfId="14" priority="15">
      <formula>AND(SUMPRODUCT(IFERROR(1*(($C$101:$C$102&amp;"x")=(C101&amp;"x")),0))&gt;1,NOT(ISBLANK(C101)))</formula>
    </cfRule>
  </conditionalFormatting>
  <conditionalFormatting sqref="C103:C120">
    <cfRule type="expression" dxfId="13" priority="37">
      <formula>AND(SUMPRODUCT(IFERROR(1*(($C$103:$C$120&amp;"x")=(C103&amp;"x")),0))&gt;1,NOT(ISBLANK(C103)))</formula>
    </cfRule>
  </conditionalFormatting>
  <conditionalFormatting sqref="C121:C125">
    <cfRule type="expression" dxfId="12" priority="36">
      <formula>AND(SUMPRODUCT(IFERROR(1*(($C$121:$C$125&amp;"x")=(C121&amp;"x")),0))&gt;1,NOT(ISBLANK(C121)))</formula>
    </cfRule>
  </conditionalFormatting>
  <conditionalFormatting sqref="C126:C131">
    <cfRule type="expression" dxfId="11" priority="35">
      <formula>AND(SUMPRODUCT(IFERROR(1*(($C$126:$C$131&amp;"x")=(C126&amp;"x")),0))&gt;1,NOT(ISBLANK(C126)))</formula>
    </cfRule>
  </conditionalFormatting>
  <conditionalFormatting sqref="C132:C133">
    <cfRule type="expression" dxfId="10" priority="8">
      <formula>AND(SUMPRODUCT(IFERROR(1*(($C$132:$C$133&amp;"x")=(C132&amp;"x")),0))&gt;1,NOT(ISBLANK(C132)))</formula>
    </cfRule>
  </conditionalFormatting>
  <conditionalFormatting sqref="C134:C142">
    <cfRule type="expression" dxfId="9" priority="34">
      <formula>AND(SUMPRODUCT(IFERROR(1*(($C$134:$C$142&amp;"x")=(C134&amp;"x")),0))&gt;1,NOT(ISBLANK(C134)))</formula>
    </cfRule>
  </conditionalFormatting>
  <conditionalFormatting sqref="C143:C144">
    <cfRule type="expression" dxfId="8" priority="33">
      <formula>AND(SUMPRODUCT(IFERROR(1*(($C$143:$C$144&amp;"x")=(C143&amp;"x")),0))&gt;1,NOT(ISBLANK(C143)))</formula>
    </cfRule>
  </conditionalFormatting>
  <conditionalFormatting sqref="C145:C146">
    <cfRule type="expression" dxfId="7" priority="32">
      <formula>AND(SUMPRODUCT(IFERROR(1*(($C$145:$C$146&amp;"x")=(C145&amp;"x")),0))&gt;1,NOT(ISBLANK(C145)))</formula>
    </cfRule>
  </conditionalFormatting>
  <conditionalFormatting sqref="C147:C149">
    <cfRule type="expression" dxfId="6" priority="7">
      <formula>AND(SUMPRODUCT(IFERROR(1*(($C$147:$C$149&amp;"x")=(C147&amp;"x")),0))&gt;1,NOT(ISBLANK(C147)))</formula>
    </cfRule>
  </conditionalFormatting>
  <conditionalFormatting sqref="C150:C153">
    <cfRule type="expression" dxfId="5" priority="31">
      <formula>AND(SUMPRODUCT(IFERROR(1*(($C$150:$C$153&amp;"x")=(C150&amp;"x")),0))&gt;1,NOT(ISBLANK(C150)))</formula>
    </cfRule>
  </conditionalFormatting>
  <conditionalFormatting sqref="C162:C163">
    <cfRule type="expression" dxfId="4" priority="29">
      <formula>AND(SUMPRODUCT(IFERROR(1*(($C$162:$C$163&amp;"x")=(C162&amp;"x")),0))&gt;1,NOT(ISBLANK(C162)))</formula>
    </cfRule>
  </conditionalFormatting>
  <conditionalFormatting sqref="C164:C166">
    <cfRule type="expression" dxfId="3" priority="28">
      <formula>AND(SUMPRODUCT(IFERROR(1*(($C$164:$C$166&amp;"x")=(C164&amp;"x")),0))&gt;1,NOT(ISBLANK(C164)))</formula>
    </cfRule>
  </conditionalFormatting>
  <conditionalFormatting sqref="C167:C169">
    <cfRule type="expression" dxfId="2" priority="26">
      <formula>AND(SUMPRODUCT(IFERROR(1*(($C$167:$C$169&amp;"x")=(C167&amp;"x")),0))&gt;1,NOT(ISBLANK(C167)))</formula>
    </cfRule>
  </conditionalFormatting>
  <conditionalFormatting sqref="C2">
    <cfRule type="expression" dxfId="1" priority="52">
      <formula>AND(SUMPRODUCT(IFERROR(1*(($C$2:$C$2&amp;"x")=(C2&amp;"x")),0))&gt;1,NOT(ISBLANK(C2)))</formula>
    </cfRule>
  </conditionalFormatting>
  <conditionalFormatting sqref="C154:C161">
    <cfRule type="expression" dxfId="0" priority="53">
      <formula>AND(SUMPRODUCT(IFERROR(1*(($C$154:$C$161&amp;"x")=(C154&amp;"x")),0))&gt;1,NOT(ISBLANK(C154)))</formula>
    </cfRule>
  </conditionalFormatting>
  <pageMargins left="0.196527777777778" right="0.23611111111111099" top="0.35416666666666702" bottom="0.51180555555555596" header="0.27500000000000002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王继刚</cp:lastModifiedBy>
  <cp:lastPrinted>2024-08-11T07:34:45Z</cp:lastPrinted>
  <dcterms:created xsi:type="dcterms:W3CDTF">2024-07-18T09:01:00Z</dcterms:created>
  <dcterms:modified xsi:type="dcterms:W3CDTF">2024-08-11T09:05:01Z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46D463E5100744CEA51117DC7108AF3F_13</vt:lpwstr>
  </property>
  <property fmtid="{D5CDD505-2E9C-101B-9397-08002B2CF9AE}" pid="3" name="KSOProductBuildVer">
    <vt:lpwstr>2052-12.1.0.17147</vt:lpwstr>
  </property>
</Properties>
</file>